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12775109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3" l="1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4" i="3"/>
  <c r="L135" i="3"/>
  <c r="L136" i="3"/>
  <c r="L137" i="3"/>
  <c r="L138" i="3"/>
  <c r="L139" i="3"/>
  <c r="L140" i="3"/>
  <c r="L141" i="3"/>
  <c r="L142" i="3"/>
  <c r="L146" i="3"/>
  <c r="L147" i="3"/>
  <c r="L148" i="3"/>
  <c r="L149" i="3"/>
  <c r="L150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</calcChain>
</file>

<file path=xl/sharedStrings.xml><?xml version="1.0" encoding="utf-8"?>
<sst xmlns="http://schemas.openxmlformats.org/spreadsheetml/2006/main" count="4599" uniqueCount="1814">
  <si>
    <t>LOCATION</t>
  </si>
  <si>
    <t>LOT #</t>
  </si>
  <si>
    <t>CATEGORY</t>
  </si>
  <si>
    <t>RETURN TYPE</t>
  </si>
  <si>
    <t># OF PALLETS</t>
  </si>
  <si>
    <t># OF CARTONS</t>
  </si>
  <si>
    <t>WEIGHT</t>
  </si>
  <si>
    <t>TOTAL ORIGINAL COST</t>
  </si>
  <si>
    <t>TOTAL ORIGINAL RETAIL</t>
  </si>
  <si>
    <t># OF UNITS</t>
  </si>
  <si>
    <t>DRESSES</t>
  </si>
  <si>
    <t>STORE STOCK</t>
  </si>
  <si>
    <t>CLIENT COST</t>
  </si>
  <si>
    <t>ORIGINAL COST</t>
  </si>
  <si>
    <t>UPC</t>
  </si>
  <si>
    <t>ITEM DESCRIPTION</t>
  </si>
  <si>
    <t>ORIGINAL QTY</t>
  </si>
  <si>
    <t>ORIGINAL RETAIL</t>
  </si>
  <si>
    <t>VENDOR / STYLE #</t>
  </si>
  <si>
    <t>COLOR</t>
  </si>
  <si>
    <t>SIZE</t>
  </si>
  <si>
    <t>DEPARTMENT NAME</t>
  </si>
  <si>
    <t>FABRIC CONTENT</t>
  </si>
  <si>
    <t>IMAGE</t>
  </si>
  <si>
    <t>BLUE</t>
  </si>
  <si>
    <t>4</t>
  </si>
  <si>
    <t>BRIDGE DRESS</t>
  </si>
  <si>
    <t>BLACK</t>
  </si>
  <si>
    <t>6</t>
  </si>
  <si>
    <t>APAPELL DRESS</t>
  </si>
  <si>
    <t>8</t>
  </si>
  <si>
    <t>2</t>
  </si>
  <si>
    <t>BEADED CREPE DRESS</t>
  </si>
  <si>
    <t>AP1E206774</t>
  </si>
  <si>
    <t>YELLOW</t>
  </si>
  <si>
    <t>14</t>
  </si>
  <si>
    <t>SHELL: POLYESTER/SPANDEX; LINING: POLYESTER</t>
  </si>
  <si>
    <t>CHARCOAL</t>
  </si>
  <si>
    <t>6 P</t>
  </si>
  <si>
    <t>P SOCL/RL DRS</t>
  </si>
  <si>
    <t>10 P</t>
  </si>
  <si>
    <t>NOTCH NECK FLOARAL SKIRTBASIC</t>
  </si>
  <si>
    <t>A23137</t>
  </si>
  <si>
    <t>STYLST SOCIAL</t>
  </si>
  <si>
    <t>SHELL: POLYESTER/SPANDEX; COMBO: POLYESTER/METALLIC THREADING/NYLON; LINING: POLYESTER</t>
  </si>
  <si>
    <t>NAVY</t>
  </si>
  <si>
    <t>POLYESTER</t>
  </si>
  <si>
    <t>SPLIT SLEEVE SEQUIN</t>
  </si>
  <si>
    <t>MD1E204650</t>
  </si>
  <si>
    <t>WINE</t>
  </si>
  <si>
    <t>MAIN &amp; LINING: 100% POLYESTER</t>
  </si>
  <si>
    <t>12 P</t>
  </si>
  <si>
    <t>SHELL, LINING: POLYESTER</t>
  </si>
  <si>
    <t>12</t>
  </si>
  <si>
    <t>CLAS SOC DRES</t>
  </si>
  <si>
    <t>SHELL, LINING &amp; EMBELLISHMENT: POLYESTER</t>
  </si>
  <si>
    <t>LT/PAS PUR</t>
  </si>
  <si>
    <t>10</t>
  </si>
  <si>
    <t>ACETATE/NYLON/SPANDEX; LINING: POLYESTER</t>
  </si>
  <si>
    <t>SHELL: POLYESTER/NYLON/ELASTANE; LINING: POLYESTER</t>
  </si>
  <si>
    <t>DARK GREEN</t>
  </si>
  <si>
    <t>POLYESTER/SPANDEX; LINING: POLYESTER</t>
  </si>
  <si>
    <t>16</t>
  </si>
  <si>
    <t>DARK RED</t>
  </si>
  <si>
    <t>NYLON/SPANDEX; LINING: POLYESTER</t>
  </si>
  <si>
    <t>WOM SOC DRESS</t>
  </si>
  <si>
    <t>POLYESTER/ELASTANE; LINING: POLYESTER</t>
  </si>
  <si>
    <t>DARKPURPLE</t>
  </si>
  <si>
    <t>4 P</t>
  </si>
  <si>
    <t>BEADED SHEATH DRS</t>
  </si>
  <si>
    <t>AP1E206645</t>
  </si>
  <si>
    <t>LT/PAS GRN</t>
  </si>
  <si>
    <t>SHELL &amp; LINING: POLYESTER</t>
  </si>
  <si>
    <t>WM POLY DRESS CCU</t>
  </si>
  <si>
    <t>CD9B95R8</t>
  </si>
  <si>
    <t>CK EVENING</t>
  </si>
  <si>
    <t>UMA</t>
  </si>
  <si>
    <t>DDR144-K135</t>
  </si>
  <si>
    <t>M</t>
  </si>
  <si>
    <t>CNTMP DRESSES</t>
  </si>
  <si>
    <t>100% NYLON; LINING: 95% POLYESTER/5% SPANDEX</t>
  </si>
  <si>
    <t>194259006590</t>
  </si>
  <si>
    <t>XS</t>
  </si>
  <si>
    <t>16 T/L</t>
  </si>
  <si>
    <t>652933438612</t>
  </si>
  <si>
    <t>HIGH LOW MIKADO GOWN</t>
  </si>
  <si>
    <t>AP1E206636</t>
  </si>
  <si>
    <t>POLYESTER; LINING: ACETATE</t>
  </si>
  <si>
    <t>GRAY</t>
  </si>
  <si>
    <t>0</t>
  </si>
  <si>
    <t>652933200189</t>
  </si>
  <si>
    <t>PRINTED ONE SHOULDER GOW</t>
  </si>
  <si>
    <t>AP1E205635</t>
  </si>
  <si>
    <t>BEADED CAPE DRESS</t>
  </si>
  <si>
    <t>AP1E206659</t>
  </si>
  <si>
    <t>DARK PINK</t>
  </si>
  <si>
    <t>652933356879</t>
  </si>
  <si>
    <t>LS SEQUIN VNECK SHORT</t>
  </si>
  <si>
    <t>AP1E206115</t>
  </si>
  <si>
    <t>BRIGHT RED</t>
  </si>
  <si>
    <t>POLYESTER/SPANDEX; PARTIAL LINING: POLYESTER</t>
  </si>
  <si>
    <t>DARK BLUE</t>
  </si>
  <si>
    <t>2 P</t>
  </si>
  <si>
    <t>SHELL, LINING: POLYESTER/SPANDEX</t>
  </si>
  <si>
    <t>L/S GLITTER KNIT</t>
  </si>
  <si>
    <t>VCMA9970</t>
  </si>
  <si>
    <t>SILVER</t>
  </si>
  <si>
    <t>SHELL: POLYESTER/METALLIC THREADING/SPANDEX; LINING: POLYESTER</t>
  </si>
  <si>
    <t>689886495287</t>
  </si>
  <si>
    <t>193623431983</t>
  </si>
  <si>
    <t>SEQUINED CAP SL COWL BAC</t>
  </si>
  <si>
    <t>CD9BD9YV</t>
  </si>
  <si>
    <t>SEQUIN OMBRE SHEATH</t>
  </si>
  <si>
    <t>CD9BE4GW</t>
  </si>
  <si>
    <t>PURPLE</t>
  </si>
  <si>
    <t>20W</t>
  </si>
  <si>
    <t>AP1E206254</t>
  </si>
  <si>
    <t>MEDIUM RED</t>
  </si>
  <si>
    <t>BRIDAL</t>
  </si>
  <si>
    <t>LT/PASPINK</t>
  </si>
  <si>
    <t>LS SOUTACH LACE OFF SHOU</t>
  </si>
  <si>
    <t>AP1E206639</t>
  </si>
  <si>
    <t>NYLON/RAYON</t>
  </si>
  <si>
    <t>SHELL: POLYESTER/ELASTANE; LINING: POLYESTER</t>
  </si>
  <si>
    <t>8 P</t>
  </si>
  <si>
    <t>652933439176</t>
  </si>
  <si>
    <t>WRAP JUMPSUIT WITH SEQUI</t>
  </si>
  <si>
    <t>AP1E206642</t>
  </si>
  <si>
    <t>SHELL AND LINING: POLYESTER; SEQUINS: POLYESTER/ELASTANE</t>
  </si>
  <si>
    <t>652933439183</t>
  </si>
  <si>
    <t>652933439190</t>
  </si>
  <si>
    <t>MED GREEN</t>
  </si>
  <si>
    <t>XL</t>
  </si>
  <si>
    <t>BRNOVERFLW</t>
  </si>
  <si>
    <t>PET DAY DRESS</t>
  </si>
  <si>
    <t>883806035625</t>
  </si>
  <si>
    <t>PERINA MIDI</t>
  </si>
  <si>
    <t>LAUREN DRESS</t>
  </si>
  <si>
    <t>SHELL AND LINING: POLYESTER</t>
  </si>
  <si>
    <t>SHRT SHEATH DRESS W ILLU</t>
  </si>
  <si>
    <t>3/4 SL V NECK SPLIT SHOU</t>
  </si>
  <si>
    <t>CD9B1G98</t>
  </si>
  <si>
    <t>SHELL: POLYESTER/METALLIC/SPANDEX; LINING: POLYESTER</t>
  </si>
  <si>
    <t>193623428303</t>
  </si>
  <si>
    <t>OTS FLUTTER SLEEVE CREPE</t>
  </si>
  <si>
    <t>CD9B18PP</t>
  </si>
  <si>
    <t>193623428327</t>
  </si>
  <si>
    <t>TURQ/AQUA</t>
  </si>
  <si>
    <t>193623435714</t>
  </si>
  <si>
    <t>884094262304</t>
  </si>
  <si>
    <t>PARKER</t>
  </si>
  <si>
    <t>SHELL: POLYESTER/ELASTANE; LINING: POLYESTER; LACE PANELS: NYLON/ELASTANE</t>
  </si>
  <si>
    <t>884094027200</t>
  </si>
  <si>
    <t>JALISSA</t>
  </si>
  <si>
    <t>BODICE, BELT, AND LINING: POLYESTER; PANT: POLYESTER/ELASTANE</t>
  </si>
  <si>
    <t>SQUARE 18</t>
  </si>
  <si>
    <t>POLYESTER/ELASTANE</t>
  </si>
  <si>
    <t>884094027248</t>
  </si>
  <si>
    <t>ONE SHOULDER LONG JERSEY</t>
  </si>
  <si>
    <t>AP1E206447</t>
  </si>
  <si>
    <t>SHELL, MESH: POLYESTER/SPANDEX; LINING: POLYESTER</t>
  </si>
  <si>
    <t>689886495225</t>
  </si>
  <si>
    <t>STRAPPLESS SLIM VELVET</t>
  </si>
  <si>
    <t>VCMA9920</t>
  </si>
  <si>
    <t>SHELL AND TRIM: POLYESTER/SPANDEX; LINING: POLYESTER</t>
  </si>
  <si>
    <t>192351721694</t>
  </si>
  <si>
    <t>SPARKLE KNIT V NECK 3/4</t>
  </si>
  <si>
    <t>CD8B54GN</t>
  </si>
  <si>
    <t>SHELL: NYLON/MODAL/SPANDEX; LINING: POLYESTER</t>
  </si>
  <si>
    <t>192351721663</t>
  </si>
  <si>
    <t>192351721670</t>
  </si>
  <si>
    <t>192351721687</t>
  </si>
  <si>
    <t>882909981792</t>
  </si>
  <si>
    <t>JADEL COMBO</t>
  </si>
  <si>
    <t>SHELL AND LINING: POLYESTER/ELASTANE</t>
  </si>
  <si>
    <t>OLEANDER</t>
  </si>
  <si>
    <t>883806035496</t>
  </si>
  <si>
    <t>SHELL &amp; LINING: POLYESTER/ELASTANE</t>
  </si>
  <si>
    <t>883806035441</t>
  </si>
  <si>
    <t>SL CHIFFON COWL NECK</t>
  </si>
  <si>
    <t>AP1E205105</t>
  </si>
  <si>
    <t>PINK</t>
  </si>
  <si>
    <t>OPNG PRC DAY</t>
  </si>
  <si>
    <t>T HILFIGR DRS</t>
  </si>
  <si>
    <t>RED</t>
  </si>
  <si>
    <t>22W</t>
  </si>
  <si>
    <t>18W</t>
  </si>
  <si>
    <t>PLUS BTR DAY</t>
  </si>
  <si>
    <t>NYLON; LINING: POLYESTER</t>
  </si>
  <si>
    <t>DARK GRAY</t>
  </si>
  <si>
    <t>POLYESTER/SPANDEX; MESH AND LINING: POLYESTER</t>
  </si>
  <si>
    <t>0 P</t>
  </si>
  <si>
    <t>CAP SLEEVE OPEN BACK</t>
  </si>
  <si>
    <t>XC179</t>
  </si>
  <si>
    <t>BRGHTORANG</t>
  </si>
  <si>
    <t>689886494624</t>
  </si>
  <si>
    <t>ALL OVER SEQUIN TEE</t>
  </si>
  <si>
    <t>VCMA0162</t>
  </si>
  <si>
    <t>NYLON; LINING: POLYESTER/SPANDEX</t>
  </si>
  <si>
    <t>689886494617</t>
  </si>
  <si>
    <t>ONE SHOULDER GLITTER KNI</t>
  </si>
  <si>
    <t>VCMA0381</t>
  </si>
  <si>
    <t>GOLD</t>
  </si>
  <si>
    <t>POLYESTER/METALLIC/SPANDEX; LINING: POLYESTER</t>
  </si>
  <si>
    <t>SVLESS BLK TUXEDO JUMPSU</t>
  </si>
  <si>
    <t>VCMA0862</t>
  </si>
  <si>
    <t>POLYESTER/RAYON/SPANDEX; LINING &amp; TRIM: POLYESTER</t>
  </si>
  <si>
    <t>689886483802</t>
  </si>
  <si>
    <t>6 AV/MD/RG</t>
  </si>
  <si>
    <t>CURR COWL CREPE DRESS</t>
  </si>
  <si>
    <t>652933541275</t>
  </si>
  <si>
    <t>WHITE</t>
  </si>
  <si>
    <t>S</t>
  </si>
  <si>
    <t>9351221772759</t>
  </si>
  <si>
    <t>LS LACE FLOUNCE HEM</t>
  </si>
  <si>
    <t>53860DB</t>
  </si>
  <si>
    <t>POLYESTER; LINING 1: POLYESTER/ELASTANE; LINING 2: POLYESTER</t>
  </si>
  <si>
    <t>FOIL LACE JMPST</t>
  </si>
  <si>
    <t>TLMF9KR552</t>
  </si>
  <si>
    <t>POLYESTER/SPANDEX</t>
  </si>
  <si>
    <t>WM PLYR DRESS G03</t>
  </si>
  <si>
    <t>GDLP3003</t>
  </si>
  <si>
    <t>SHELL: POLYESTER/SPANDEX; LINING, TRIM: POLYESTER</t>
  </si>
  <si>
    <t>COLTON</t>
  </si>
  <si>
    <t>SHELL PANEL AND SASH; POLYESTER/ ELASTANE; LINING: POLYESTER/ ELASTANE</t>
  </si>
  <si>
    <t>16 P</t>
  </si>
  <si>
    <t>DORENA</t>
  </si>
  <si>
    <t>SHELL: VISCOSE/ELASTANE; LINING: POLYESTER/ELASTANE</t>
  </si>
  <si>
    <t>884094494934</t>
  </si>
  <si>
    <t>ALEXIE 2-TN</t>
  </si>
  <si>
    <t>S/L ALLOVER SEQUIN STAR</t>
  </si>
  <si>
    <t>A9HN2WW1</t>
  </si>
  <si>
    <t>SHELL: POLYESTER; LINING: POLYESTER/SPANDEX</t>
  </si>
  <si>
    <t>193623463106</t>
  </si>
  <si>
    <t>V NECK PEARL TRIM ON CUF</t>
  </si>
  <si>
    <t>CX9C15XD</t>
  </si>
  <si>
    <t>S P</t>
  </si>
  <si>
    <t>CK DRESSES</t>
  </si>
  <si>
    <t>SHELL: POLYESTER/SPANDEX; LINING: POLYESTER; BELT: POLYURETHANE</t>
  </si>
  <si>
    <t>192351068980</t>
  </si>
  <si>
    <t>SHADOW STRIPE SURPLUS MA</t>
  </si>
  <si>
    <t>CD9H22L4</t>
  </si>
  <si>
    <t>193623463083</t>
  </si>
  <si>
    <t>192351068959</t>
  </si>
  <si>
    <t>SL PEARL PARTY DRESS</t>
  </si>
  <si>
    <t>FQ05K91</t>
  </si>
  <si>
    <t>LT/PAS GRY</t>
  </si>
  <si>
    <t>NYLON; LINING: POLYESTER/TRICOT</t>
  </si>
  <si>
    <t>MED BEIGE</t>
  </si>
  <si>
    <t>DKNY DRESSES</t>
  </si>
  <si>
    <t>ROUCHED JUMPSUIT</t>
  </si>
  <si>
    <t>LS GLITTER KNIT MIDI</t>
  </si>
  <si>
    <t>CD9A2M89</t>
  </si>
  <si>
    <t>NYLON/SPANDEX/METALLIC</t>
  </si>
  <si>
    <t>194414981472</t>
  </si>
  <si>
    <t>V NECK W HOT FIX BELTED</t>
  </si>
  <si>
    <t>CD9CC1MR</t>
  </si>
  <si>
    <t>POLYESTER/SPANDEX; POCKET LINING: POLYESTER</t>
  </si>
  <si>
    <t>CREPE BELTED JUMPSUIT</t>
  </si>
  <si>
    <t>A9HC1KDG</t>
  </si>
  <si>
    <t>SPARKLE KNIT SIDE BAR TA</t>
  </si>
  <si>
    <t>CX9AD32R</t>
  </si>
  <si>
    <t>NYLON/METALLIC THREADING/SPANDEX</t>
  </si>
  <si>
    <t>ANIMAL BURNOUT WRAP</t>
  </si>
  <si>
    <t>CD9V4E48</t>
  </si>
  <si>
    <t>SHELL: BURNOUT VELVET POLYESTER/NYLON/SPANDEX; LINING: POLYESTER</t>
  </si>
  <si>
    <t>194414965380</t>
  </si>
  <si>
    <t>A9FC1KDC</t>
  </si>
  <si>
    <t>SHELL &amp; LINING: POLYESTER/SPANDEX</t>
  </si>
  <si>
    <t>193623466237</t>
  </si>
  <si>
    <t>PEARL TRIM DOUBLE BELL S</t>
  </si>
  <si>
    <t>CD9C25HV</t>
  </si>
  <si>
    <t>POLYESTER/SPANDEX SCUBA CREPE; LINING: POLYESTER</t>
  </si>
  <si>
    <t>MULB GLITTER KNIT W/CUTAW</t>
  </si>
  <si>
    <t>V NECK BLOUSON DRESS</t>
  </si>
  <si>
    <t>93347767I</t>
  </si>
  <si>
    <t>SHELL: POLYESTER/SPANDEX; SKIRT: POLYESTER/NYLON/SPANDEX; LINING: POLYESTER</t>
  </si>
  <si>
    <t>888807466423</t>
  </si>
  <si>
    <t>WM PLYR DRESS G31</t>
  </si>
  <si>
    <t>GDLN3708</t>
  </si>
  <si>
    <t>NYLON/METALLIC THREADING/SPANDEX; LINING: POLYESTER</t>
  </si>
  <si>
    <t>WM PLYR DRESS G44</t>
  </si>
  <si>
    <t>LT/PASBLUE</t>
  </si>
  <si>
    <t>ILLUSION YOKE COLD SHOUL</t>
  </si>
  <si>
    <t>CD9M1U30</t>
  </si>
  <si>
    <t>LARGE</t>
  </si>
  <si>
    <t>CARLYNA</t>
  </si>
  <si>
    <t>EDITA 3/4</t>
  </si>
  <si>
    <t>14 P</t>
  </si>
  <si>
    <t>884094032655</t>
  </si>
  <si>
    <t>884094032631</t>
  </si>
  <si>
    <t>884094027644</t>
  </si>
  <si>
    <t>NATURAL</t>
  </si>
  <si>
    <t>884094027699</t>
  </si>
  <si>
    <t>884094027682</t>
  </si>
  <si>
    <t>VEMALYN</t>
  </si>
  <si>
    <t>SHELL AND LINING: POLYESTER/ ELASTANE</t>
  </si>
  <si>
    <t>884094032600</t>
  </si>
  <si>
    <t>883806076918</t>
  </si>
  <si>
    <t>635273657158</t>
  </si>
  <si>
    <t>SLV PAISLEY SHEATH</t>
  </si>
  <si>
    <t>TLMF9WD861</t>
  </si>
  <si>
    <t>POLYESTER/LUREX; LINING: POLYESTER</t>
  </si>
  <si>
    <t>VNCK FLORAL JACQ FNF</t>
  </si>
  <si>
    <t>TLMF9WD860</t>
  </si>
  <si>
    <t>LT/PAS RED</t>
  </si>
  <si>
    <t>SHELL: POLYESTER; LINING: POLYESTER</t>
  </si>
  <si>
    <t>SIMONE DRESS</t>
  </si>
  <si>
    <t>RD18H775</t>
  </si>
  <si>
    <t>VISCOSE/METALLIC/NYLON/ELASTANE; LINING: POLYESTER</t>
  </si>
  <si>
    <t>889177537928</t>
  </si>
  <si>
    <t>SHELL: POLYESTER; LINING: POLYESTER/ELASTANE</t>
  </si>
  <si>
    <t>SL METALLIC JRSY SIDE RO</t>
  </si>
  <si>
    <t>A9FK1UV1</t>
  </si>
  <si>
    <t>192114003890</t>
  </si>
  <si>
    <t>3/4 SLV GRMT NECK</t>
  </si>
  <si>
    <t>A9HC1CSA</t>
  </si>
  <si>
    <t>SL FLRL CHIFF MIDI HLTR</t>
  </si>
  <si>
    <t>A9FG4Y1A</t>
  </si>
  <si>
    <t>SHELL, LINING: POLYESTER; BELT: POLYURETHANE</t>
  </si>
  <si>
    <t>192114080891</t>
  </si>
  <si>
    <t>ANIMAL V NECK SHEATH</t>
  </si>
  <si>
    <t>CD9M74UD</t>
  </si>
  <si>
    <t>DARK BEIGE</t>
  </si>
  <si>
    <t>MEDIUN RED</t>
  </si>
  <si>
    <t>GDLP3029</t>
  </si>
  <si>
    <t>GREEN</t>
  </si>
  <si>
    <t>POLYESTER/NYLON/SPANDEX; LINING: POLYESTER</t>
  </si>
  <si>
    <t>LS ILLUSION LACE DRESS</t>
  </si>
  <si>
    <t>GDLP3604</t>
  </si>
  <si>
    <t>POLYESTER/SPANDEX; LACE: NYLON/SPANDEX; LINING: POLYESTER</t>
  </si>
  <si>
    <t>BRIGHTBLUE</t>
  </si>
  <si>
    <t>VICTORINA</t>
  </si>
  <si>
    <t>DEMETRIA JUMPSUIT</t>
  </si>
  <si>
    <t>RD19F944</t>
  </si>
  <si>
    <t>MED PINK</t>
  </si>
  <si>
    <t>3/4 SLV TLGTH LACE</t>
  </si>
  <si>
    <t>SHELL: NYLON/RAYON; LINING: POLYESTER</t>
  </si>
  <si>
    <t>794795103939</t>
  </si>
  <si>
    <t>LT/PAS YEL</t>
  </si>
  <si>
    <t>BRIGHT GRN</t>
  </si>
  <si>
    <t>SPARKLE STRIPE</t>
  </si>
  <si>
    <t>JH9W8844</t>
  </si>
  <si>
    <t>S/L SC BEJWELED SELF TIE</t>
  </si>
  <si>
    <t>A9HC1WR1</t>
  </si>
  <si>
    <t>POLYESTER; LINING: POLYESTER</t>
  </si>
  <si>
    <t>JRSY MOCK NECK PLAID</t>
  </si>
  <si>
    <t>A9FJ2EA1</t>
  </si>
  <si>
    <t>L/S SIDE ROUGE KNIT</t>
  </si>
  <si>
    <t>PRINTED SCUBA APRON</t>
  </si>
  <si>
    <t>GDLP3595</t>
  </si>
  <si>
    <t>888807476149</t>
  </si>
  <si>
    <t>192114715274</t>
  </si>
  <si>
    <t>SCUBA CREPE W STRETCH BO</t>
  </si>
  <si>
    <t>A8FC2U9P</t>
  </si>
  <si>
    <t>SHELL, LINING: POLYESTER/SPANDEX; LACE: NYLON/SPANDEX</t>
  </si>
  <si>
    <t>WOMEN KNIT DRESS AVY</t>
  </si>
  <si>
    <t>A8FC1CSG</t>
  </si>
  <si>
    <t>192114715298</t>
  </si>
  <si>
    <t>COTTON/POLYESTER/SPANDEX</t>
  </si>
  <si>
    <t>888807467277</t>
  </si>
  <si>
    <t>V BECK LS ROUCH</t>
  </si>
  <si>
    <t>GDLP3704</t>
  </si>
  <si>
    <t>POLYESTER/METALLIC THREADING; LINING: POLYESTER</t>
  </si>
  <si>
    <t>192351432309</t>
  </si>
  <si>
    <t>CD9C14GT</t>
  </si>
  <si>
    <t>CD9C15QV</t>
  </si>
  <si>
    <t>RUFFLE HEM CHECKOUT</t>
  </si>
  <si>
    <t>CD9C11QW</t>
  </si>
  <si>
    <t>DOUBLE TIER PIPED BELL S</t>
  </si>
  <si>
    <t>CD9C15C6</t>
  </si>
  <si>
    <t>V NECK F&amp;F MIDI</t>
  </si>
  <si>
    <t>CD9C18YJ</t>
  </si>
  <si>
    <t>NEW PUFF L/S SHIFT</t>
  </si>
  <si>
    <t>CT9C11Y7</t>
  </si>
  <si>
    <t>PLAID SHEATH IN MILLENIU</t>
  </si>
  <si>
    <t>CD9EK923</t>
  </si>
  <si>
    <t>MED GRAY</t>
  </si>
  <si>
    <t>RAYON/NYLON/SPANDEX</t>
  </si>
  <si>
    <t>BLACK SCUBA CREPE FIT &amp; FLAIR</t>
  </si>
  <si>
    <t>CT8C112C</t>
  </si>
  <si>
    <t>193623852986</t>
  </si>
  <si>
    <t>SOCIAL DRESS</t>
  </si>
  <si>
    <t>193623399559</t>
  </si>
  <si>
    <t>CHIFFON /MESH W HOT FIX</t>
  </si>
  <si>
    <t>CD9R1K40</t>
  </si>
  <si>
    <t>3/4 SLV JRSY CHAIN ALINE</t>
  </si>
  <si>
    <t>A9HJ1NTH</t>
  </si>
  <si>
    <t>NOELLE</t>
  </si>
  <si>
    <t>BODICE, SKIRT AND LINING: POLYESTER/ELASTANE; MIDRIFF: VISCOSE/ELASTANE</t>
  </si>
  <si>
    <t>A OR SMALL</t>
  </si>
  <si>
    <t>WM PLYR DRESS K23</t>
  </si>
  <si>
    <t>KDLN0323</t>
  </si>
  <si>
    <t>SS LACE FOIL FF</t>
  </si>
  <si>
    <t>KDLP0897</t>
  </si>
  <si>
    <t>192673331342</t>
  </si>
  <si>
    <t>3 4 SLV RUCH WAISJH9</t>
  </si>
  <si>
    <t>JH9M8540</t>
  </si>
  <si>
    <t>BODICE: POLYESTER/SPANDEX; SKIRT: POLYESTER; LINING: POLYESTER</t>
  </si>
  <si>
    <t>689886482737</t>
  </si>
  <si>
    <t>SHORT SLEEVE FURBVCM</t>
  </si>
  <si>
    <t>VCMA0489</t>
  </si>
  <si>
    <t>9</t>
  </si>
  <si>
    <t>7</t>
  </si>
  <si>
    <t>689886571257</t>
  </si>
  <si>
    <t>3</t>
  </si>
  <si>
    <t>3X</t>
  </si>
  <si>
    <t>93487724521</t>
  </si>
  <si>
    <t>BROOK DRESS</t>
  </si>
  <si>
    <t>1X</t>
  </si>
  <si>
    <t>LNG SLV TIER DRESS</t>
  </si>
  <si>
    <t>SL170162</t>
  </si>
  <si>
    <t>WM PYSP DRESS TVY</t>
  </si>
  <si>
    <t>TD7C4CE1</t>
  </si>
  <si>
    <t>NEMOTA</t>
  </si>
  <si>
    <t>883806166749</t>
  </si>
  <si>
    <t>883806166671</t>
  </si>
  <si>
    <t>883806166756</t>
  </si>
  <si>
    <t>BLK/ WOMEN KNIT DRESS AVY</t>
  </si>
  <si>
    <t>5</t>
  </si>
  <si>
    <t>652933756594</t>
  </si>
  <si>
    <t>FAUX FUR WRAP</t>
  </si>
  <si>
    <t>AP1E207515</t>
  </si>
  <si>
    <t>OSFA</t>
  </si>
  <si>
    <t>SHELL: ACRYLIC/POLYESTER; LINING: POLYESTER</t>
  </si>
  <si>
    <t>192673211392</t>
  </si>
  <si>
    <t>BUNDGEY NECK BURNOUT</t>
  </si>
  <si>
    <t>KDLP0937</t>
  </si>
  <si>
    <t>192673211347</t>
  </si>
  <si>
    <t>LACE SLVLS BAT NK LO</t>
  </si>
  <si>
    <t>TC392778M1</t>
  </si>
  <si>
    <t>NYLON/POLYESTER/SPANDEX</t>
  </si>
  <si>
    <t>192673211361</t>
  </si>
  <si>
    <t>COLORBLK FNF</t>
  </si>
  <si>
    <t>JH0M9045</t>
  </si>
  <si>
    <t>VELVET W RHINESTRONE TRI</t>
  </si>
  <si>
    <t>CD9R1K27</t>
  </si>
  <si>
    <t>POLYESTER/SPANDEX; LINING AND EMBELLISHMENTS: POLYESTER</t>
  </si>
  <si>
    <t>193623399153</t>
  </si>
  <si>
    <t>193623399177</t>
  </si>
  <si>
    <t>ONE SHOULDER STRETCH SAT</t>
  </si>
  <si>
    <t>1</t>
  </si>
  <si>
    <t>13</t>
  </si>
  <si>
    <t>MED PURPLE</t>
  </si>
  <si>
    <t>CD9C19JL</t>
  </si>
  <si>
    <t>STARBURST W SLEEVE</t>
  </si>
  <si>
    <t>CD9C11Y7</t>
  </si>
  <si>
    <t>2X</t>
  </si>
  <si>
    <t>SHELL: NYLON/POLYESTER/SPANDEX; LINING: POLYESTER</t>
  </si>
  <si>
    <t>2 PIECE L/S SOLDI SKIRT</t>
  </si>
  <si>
    <t>3095DZ8CT3</t>
  </si>
  <si>
    <t>TOP: POLYESTER/SPANDEX; SKIRT, LINING: POLYESTER</t>
  </si>
  <si>
    <t>SS SCUBA RUFFLE HEM</t>
  </si>
  <si>
    <t>FQ06K27</t>
  </si>
  <si>
    <t>11</t>
  </si>
  <si>
    <t>X LARGE</t>
  </si>
  <si>
    <t>NYLON/POLYESTER/SPANDEX; LINING: POLYESTER</t>
  </si>
  <si>
    <t>708008605370</t>
  </si>
  <si>
    <t>STRAPLESS LACE TOP BOW B</t>
  </si>
  <si>
    <t>3441CB9AT3</t>
  </si>
  <si>
    <t>NYLON/RAYON; SKIRT &amp; LINING: POLYESTER</t>
  </si>
  <si>
    <t>ONE SHOULDER CHIFFON TOP</t>
  </si>
  <si>
    <t>9560BQ2BT3</t>
  </si>
  <si>
    <t>BODICE &amp; LINING: POLYESTER; SKIRT: NYLON/RAYON</t>
  </si>
  <si>
    <t>LACE SHEATH</t>
  </si>
  <si>
    <t>DRESS: NYLON/POLYESTER/SPANDEX; MESH: POLYESTER/SPANDEX; LINING: POLYESTER</t>
  </si>
  <si>
    <t>689886561227</t>
  </si>
  <si>
    <t>S/L SIDE RUCHE</t>
  </si>
  <si>
    <t>JH9P7808</t>
  </si>
  <si>
    <t>MED BLUE</t>
  </si>
  <si>
    <t>SHELL: POLYESTER/METALLIC THREADING; LINING: POLYESTER</t>
  </si>
  <si>
    <t>XXS</t>
  </si>
  <si>
    <t>A8SC1R96</t>
  </si>
  <si>
    <t>VELVET JUMPSUIT</t>
  </si>
  <si>
    <t>HV27943</t>
  </si>
  <si>
    <t>MILLENNIAL CL</t>
  </si>
  <si>
    <t>TRM INSERT 1-2MN SAR</t>
  </si>
  <si>
    <t>V1310505P1</t>
  </si>
  <si>
    <t>MESH SEQUIN CAP SLEEVE</t>
  </si>
  <si>
    <t>HJ117926</t>
  </si>
  <si>
    <t>B OR MED</t>
  </si>
  <si>
    <t>DEEP FRONT ILLUSION HORS</t>
  </si>
  <si>
    <t>H867217</t>
  </si>
  <si>
    <t>889631049004</t>
  </si>
  <si>
    <t>TANK CAGE TOP FLOCKED BO</t>
  </si>
  <si>
    <t>FKI13228I</t>
  </si>
  <si>
    <t>POLYESTER/SPANDEX; TRIM, LINING AND MESH: POLYESTER</t>
  </si>
  <si>
    <t>661414655783</t>
  </si>
  <si>
    <t>ALL DOOR JUMPSUIT</t>
  </si>
  <si>
    <t>H868049</t>
  </si>
  <si>
    <t>708008598979</t>
  </si>
  <si>
    <t>L/S STRIPED GLITTER</t>
  </si>
  <si>
    <t>7895GK2AT3</t>
  </si>
  <si>
    <t>NYLON/METALLIC/SPANDEX; LINING: POLYESTER</t>
  </si>
  <si>
    <t>METALLIC KNIT OFF THE SH</t>
  </si>
  <si>
    <t>HN488092</t>
  </si>
  <si>
    <t>JR DRESSES</t>
  </si>
  <si>
    <t>STRAPPLESS VELVET APPLIQ</t>
  </si>
  <si>
    <t>4XGR918</t>
  </si>
  <si>
    <t>SHELL, LINING, TRIM: POLYESTER</t>
  </si>
  <si>
    <t>S/S WRAP LAPEL JUMPSUIT</t>
  </si>
  <si>
    <t>A373A535T1</t>
  </si>
  <si>
    <t>TJO15343I</t>
  </si>
  <si>
    <t>SATIN STRETCH MOCK NECK</t>
  </si>
  <si>
    <t>TBB15343I</t>
  </si>
  <si>
    <t>PROM INTO SHORT</t>
  </si>
  <si>
    <t>HHW1061</t>
  </si>
  <si>
    <t>RED BLK FROM REPLENISHME</t>
  </si>
  <si>
    <t>6MNF442</t>
  </si>
  <si>
    <t>STRAPPT DOUBLE</t>
  </si>
  <si>
    <t>4XGR589</t>
  </si>
  <si>
    <t>POLKA DOT RUFFLE SEQUIN</t>
  </si>
  <si>
    <t>26V7237STI</t>
  </si>
  <si>
    <t>193596504615</t>
  </si>
  <si>
    <t>SHRT KNIT DRS OFF SH</t>
  </si>
  <si>
    <t>5858US1C</t>
  </si>
  <si>
    <t>BOW BACK SCUBA CREPE STR</t>
  </si>
  <si>
    <t>7426AD1AT3</t>
  </si>
  <si>
    <t>WM CRDL CARDIGAN C65</t>
  </si>
  <si>
    <t>CD9RNY76</t>
  </si>
  <si>
    <t>RAYON/NYLON</t>
  </si>
  <si>
    <t>887840378205</t>
  </si>
  <si>
    <t>MOCK LACE GLITTER MIDI</t>
  </si>
  <si>
    <t>HNT4186</t>
  </si>
  <si>
    <t>887840378236</t>
  </si>
  <si>
    <t>887840378212</t>
  </si>
  <si>
    <t>REDOVERFLW</t>
  </si>
  <si>
    <t>SHELL: POLYESTER/SPANDEX; LACE: POLYESTER</t>
  </si>
  <si>
    <t>FITTED, CUT AWAY NEC</t>
  </si>
  <si>
    <t>1160K3F</t>
  </si>
  <si>
    <t>887840250761</t>
  </si>
  <si>
    <t>SEQUIN VELVET SLIM</t>
  </si>
  <si>
    <t>DHU3217550</t>
  </si>
  <si>
    <t>NYLON/COTTON; LINING: POLYESTER</t>
  </si>
  <si>
    <t>LT BEIGE</t>
  </si>
  <si>
    <t>791841034872</t>
  </si>
  <si>
    <t>MULTI COLOR DISCO</t>
  </si>
  <si>
    <t>4AAK069</t>
  </si>
  <si>
    <t>NYLON/METALLIC/SPANDEX</t>
  </si>
  <si>
    <t>SS BOW BACK FF SCUBA</t>
  </si>
  <si>
    <t>25V35243EI</t>
  </si>
  <si>
    <t>GLITTER SLINKY TSHIRT DR</t>
  </si>
  <si>
    <t>49084M</t>
  </si>
  <si>
    <t>ACETATE, SPANDEX; LINING: POLYESTER</t>
  </si>
  <si>
    <t>L/S BODY CON DRESS</t>
  </si>
  <si>
    <t>8BCK069</t>
  </si>
  <si>
    <t>191170264580</t>
  </si>
  <si>
    <t>TIE WAIST GAUCHO CROSSOV</t>
  </si>
  <si>
    <t>12X51919XI</t>
  </si>
  <si>
    <t>191170264573</t>
  </si>
  <si>
    <t>ALL OVER SEQUIN BOLERO</t>
  </si>
  <si>
    <t>1154J1F</t>
  </si>
  <si>
    <t>689886207156</t>
  </si>
  <si>
    <t>RO NAUT WM BOLERO SWEATER</t>
  </si>
  <si>
    <t>JH4M5668</t>
  </si>
  <si>
    <t>LUREX KNIT F&amp;F FLORAL</t>
  </si>
  <si>
    <t>ZMK90579Z1</t>
  </si>
  <si>
    <t>POLYESTER/RAYON/SPANDEX</t>
  </si>
  <si>
    <t>JEWEL NECK NOVELTY L</t>
  </si>
  <si>
    <t>724432810951</t>
  </si>
  <si>
    <t>CRS NCK SPARKLE JUMPSUIT</t>
  </si>
  <si>
    <t>95H613-S9</t>
  </si>
  <si>
    <t>SCARF SHIFT DRESS</t>
  </si>
  <si>
    <t>03F729-S9</t>
  </si>
  <si>
    <t>BEIGE</t>
  </si>
  <si>
    <t>COWL CREPE CAPE TOP</t>
  </si>
  <si>
    <t>AP1E206845</t>
  </si>
  <si>
    <t>15 AVG</t>
  </si>
  <si>
    <t>XS NO CUP</t>
  </si>
  <si>
    <t>POLYESTER; PARTIAL LINING: POLYESTER</t>
  </si>
  <si>
    <t>D72521DNE</t>
  </si>
  <si>
    <t>CHOKER ALINE BOW BK</t>
  </si>
  <si>
    <t>887840250754</t>
  </si>
  <si>
    <t>FQP3473</t>
  </si>
  <si>
    <t>SHELL: COTTON/NYLON; LINING: POLYESTER</t>
  </si>
  <si>
    <t>I4XGP384</t>
  </si>
  <si>
    <t>SLVLS VNK ALINE DRES</t>
  </si>
  <si>
    <t>791841047063</t>
  </si>
  <si>
    <t>1138N71</t>
  </si>
  <si>
    <t>PRINTED STRETCH SATIN</t>
  </si>
  <si>
    <t>650868870354</t>
  </si>
  <si>
    <t>193596504653</t>
  </si>
  <si>
    <t>193596504608</t>
  </si>
  <si>
    <t>D75806J607</t>
  </si>
  <si>
    <t>LONG SLV GLIT KNIT B</t>
  </si>
  <si>
    <t>791841047124</t>
  </si>
  <si>
    <t>889631122158</t>
  </si>
  <si>
    <t>889631122073</t>
  </si>
  <si>
    <t>VISCOSE/NYLON</t>
  </si>
  <si>
    <t>SHELL: POLYESTER/RAYON/SPANDEX; LINING: POLYESTER</t>
  </si>
  <si>
    <t>7948DS2AT3</t>
  </si>
  <si>
    <t>TUXEDO JACKET</t>
  </si>
  <si>
    <t>661414655837</t>
  </si>
  <si>
    <t>1185M62</t>
  </si>
  <si>
    <t>GLIRTTER LACE HLTR DBL S</t>
  </si>
  <si>
    <t>2915939NHI</t>
  </si>
  <si>
    <t>STRAPPLESS FLORAL PRINT</t>
  </si>
  <si>
    <t>SHELL, LACE: POLYESTER/SPANDEX; LINING: POLYESTER</t>
  </si>
  <si>
    <t>5906CM9BT3</t>
  </si>
  <si>
    <t>F/F BODY</t>
  </si>
  <si>
    <t>708008598344</t>
  </si>
  <si>
    <t>708008598337</t>
  </si>
  <si>
    <t>CX9RVXK5</t>
  </si>
  <si>
    <t>VELVET SHRUG</t>
  </si>
  <si>
    <t>RWC15244I</t>
  </si>
  <si>
    <t>VELVET MIDI</t>
  </si>
  <si>
    <t>HJ37981</t>
  </si>
  <si>
    <t>ONE SHOULDER SEQUIN DRES</t>
  </si>
  <si>
    <t>SHELL, LINING &amp; MESH: POLYESTER</t>
  </si>
  <si>
    <t>6119GD1C</t>
  </si>
  <si>
    <t>SEQUIN STRETCH MESH</t>
  </si>
  <si>
    <t>193596393318</t>
  </si>
  <si>
    <t>TAB28191M1</t>
  </si>
  <si>
    <t>LUREX JUMPSUIT</t>
  </si>
  <si>
    <t>888815858647</t>
  </si>
  <si>
    <t>T0021124M1</t>
  </si>
  <si>
    <t>SURP DR SYMM DTL DRE</t>
  </si>
  <si>
    <t>708008605332</t>
  </si>
  <si>
    <t>708008576724</t>
  </si>
  <si>
    <t>4AWN751</t>
  </si>
  <si>
    <t>EMBROIDERY/SEQ ALL OVER</t>
  </si>
  <si>
    <t>791841046059</t>
  </si>
  <si>
    <t>CD9C11TD</t>
  </si>
  <si>
    <t>CD9C34QG</t>
  </si>
  <si>
    <t>3/4 SL BELTED MIDI</t>
  </si>
  <si>
    <t>193623853280</t>
  </si>
  <si>
    <t>SHELL: POLYESTER/SPANDEX</t>
  </si>
  <si>
    <t>BRIGHT PUR</t>
  </si>
  <si>
    <t>SHELL: POLYESTER/SPANDEX; COMBINATION: POLYESTER</t>
  </si>
  <si>
    <t>DD9C1172</t>
  </si>
  <si>
    <t>SL JUMPSUIT CHFN OVERLAY</t>
  </si>
  <si>
    <t>DD8I1406</t>
  </si>
  <si>
    <t>PLEATED BELL SLEEVE SHEA</t>
  </si>
  <si>
    <t>CD9C1B4P</t>
  </si>
  <si>
    <t>193623853310</t>
  </si>
  <si>
    <t>CT9C15P3</t>
  </si>
  <si>
    <t>BATEAU NECK W TULIP SLEE</t>
  </si>
  <si>
    <t>POLYESTER/RAYON/SPANDEX; SKIRT: POLYESTER/SPANDEX</t>
  </si>
  <si>
    <t>CD9P2A27</t>
  </si>
  <si>
    <t>S/S T-BODY W MENSWEAR BO</t>
  </si>
  <si>
    <t>CT9C14L4</t>
  </si>
  <si>
    <t>MIDI ILLUSION HEM</t>
  </si>
  <si>
    <t>193623853365</t>
  </si>
  <si>
    <t>CD0M18N8</t>
  </si>
  <si>
    <t>ASYM NECK SHEATH</t>
  </si>
  <si>
    <t>194414967773</t>
  </si>
  <si>
    <t>193623509781</t>
  </si>
  <si>
    <t>193623852771</t>
  </si>
  <si>
    <t>RAYON/COTTON/SPANDEX</t>
  </si>
  <si>
    <t>CD9P28QQ</t>
  </si>
  <si>
    <t>S/S PONTE JACQUARD T -BO</t>
  </si>
  <si>
    <t>192351061974</t>
  </si>
  <si>
    <t>GDLP2934</t>
  </si>
  <si>
    <t>WM PLYR DRESS G34</t>
  </si>
  <si>
    <t>193623321963</t>
  </si>
  <si>
    <t>COWL NECK MAXI</t>
  </si>
  <si>
    <t>16AV/MD/RG</t>
  </si>
  <si>
    <t>18W AVER</t>
  </si>
  <si>
    <t>A9FK1Z29</t>
  </si>
  <si>
    <t>794795103885</t>
  </si>
  <si>
    <t>ANDEE</t>
  </si>
  <si>
    <t>CX9C11QW</t>
  </si>
  <si>
    <t>SL MIDI RUFFLE HI-LO HEM</t>
  </si>
  <si>
    <t>DD9ID070</t>
  </si>
  <si>
    <t>S/S ZIP FIT &amp; FLARE</t>
  </si>
  <si>
    <t>POLYESTER/SPANDEX; SLEEVES, COLLAR AND LINING: POLYESTER</t>
  </si>
  <si>
    <t>STRETCH VELVET SIDE BUTT</t>
  </si>
  <si>
    <t>884002918590</t>
  </si>
  <si>
    <t>DD9J2978</t>
  </si>
  <si>
    <t>S/L PLEATED EMPIRE WAIST</t>
  </si>
  <si>
    <t>889177537959</t>
  </si>
  <si>
    <t>L/S LACE SLV SB FNF</t>
  </si>
  <si>
    <t>JH9M8416</t>
  </si>
  <si>
    <t>BACK CAPE FRNT ROUCHED C</t>
  </si>
  <si>
    <t>DD9J1031</t>
  </si>
  <si>
    <t>V-NECK RUFFLE CAP SLEEVE</t>
  </si>
  <si>
    <t>3/4 SLEEVE PRINTED BLOUS</t>
  </si>
  <si>
    <t>DD9I1396</t>
  </si>
  <si>
    <t>L/S SHEATH WITH SHOULDER</t>
  </si>
  <si>
    <t>795733015871</t>
  </si>
  <si>
    <t>DD9IX971</t>
  </si>
  <si>
    <t>MOCK NECK SEAMED SHEATH</t>
  </si>
  <si>
    <t>SPARKLE JACKET DRESS</t>
  </si>
  <si>
    <t>POLYESTER; LINING (EXCEPT SLEEVES): POLYESTER</t>
  </si>
  <si>
    <t>LS KEYHOLE GOWN</t>
  </si>
  <si>
    <t>14W AVER</t>
  </si>
  <si>
    <t>16W AVER</t>
  </si>
  <si>
    <t>BODICE, SKIRT, AND LINING: POLYESTER/ ELASTANE; MIDRIFF: VISCOSE/ ELASTANE</t>
  </si>
  <si>
    <t>884094022823</t>
  </si>
  <si>
    <t>883806076895</t>
  </si>
  <si>
    <t>CD9CM4L6</t>
  </si>
  <si>
    <t>BIG FLORAL PRINTED MIDI</t>
  </si>
  <si>
    <t>RED FLORAL PLEATED CHIFF</t>
  </si>
  <si>
    <t>194414974085</t>
  </si>
  <si>
    <t>194414974061</t>
  </si>
  <si>
    <t>CD9C1L20</t>
  </si>
  <si>
    <t>BUTTON FRONT L/S</t>
  </si>
  <si>
    <t>POLYESTER; BELT: POLYURETHANE</t>
  </si>
  <si>
    <t>A9HG1ZT1</t>
  </si>
  <si>
    <t>S/L FLRL CHIFF MIDI</t>
  </si>
  <si>
    <t>192114005085</t>
  </si>
  <si>
    <t>192114005122</t>
  </si>
  <si>
    <t>B164</t>
  </si>
  <si>
    <t>LNG SMJ OTS BEAD A21</t>
  </si>
  <si>
    <t>CD9M1D28</t>
  </si>
  <si>
    <t>NEW BLING KATY PERRY</t>
  </si>
  <si>
    <t>S/L FIT &amp; FLARE</t>
  </si>
  <si>
    <t>CX9R14A4</t>
  </si>
  <si>
    <t>FUR</t>
  </si>
  <si>
    <t>194414941001</t>
  </si>
  <si>
    <t>VC9P7636</t>
  </si>
  <si>
    <t>LS MIXED VELVET</t>
  </si>
  <si>
    <t>CX9C14UV</t>
  </si>
  <si>
    <t>BLING UP THE SIDE MIDI</t>
  </si>
  <si>
    <t>3/4 SLEEVE TWINSET WITH</t>
  </si>
  <si>
    <t>ACETATE/SPANDEX; LINING: POLYESTER</t>
  </si>
  <si>
    <t>NYLON/POLYESTER/METALLIC/SPANDEX</t>
  </si>
  <si>
    <t>CD9B1G39</t>
  </si>
  <si>
    <t>SEQUIN COWL FRONT LONG G</t>
  </si>
  <si>
    <t>CD9BB529</t>
  </si>
  <si>
    <t>193623468637</t>
  </si>
  <si>
    <t>AP1D103723</t>
  </si>
  <si>
    <t>FLTR SLV VNCK SNAKE MAXI</t>
  </si>
  <si>
    <t>883806035434</t>
  </si>
  <si>
    <t>884094262250</t>
  </si>
  <si>
    <t>2645X</t>
  </si>
  <si>
    <t>POLYESTER/ACETATE/SPANDEX</t>
  </si>
  <si>
    <t>LNG DRS W MNDRN JKT</t>
  </si>
  <si>
    <t>18 T/L</t>
  </si>
  <si>
    <t>24W</t>
  </si>
  <si>
    <t>LONG SLEEVELESS COLUMN D</t>
  </si>
  <si>
    <t>A22445W</t>
  </si>
  <si>
    <t>LNG SCB CREP V NK ROUCH</t>
  </si>
  <si>
    <t>20 T/L</t>
  </si>
  <si>
    <t>OTS LONG RED DRESS</t>
  </si>
  <si>
    <t>652933485142</t>
  </si>
  <si>
    <t>PINKOVERFL</t>
  </si>
  <si>
    <t>AP1E206454</t>
  </si>
  <si>
    <t>MIKADO ASYM PLEATED GOWN</t>
  </si>
  <si>
    <t>22 T/L</t>
  </si>
  <si>
    <t>AP1E206465</t>
  </si>
  <si>
    <t>BEADED SHEATH DRESS</t>
  </si>
  <si>
    <t>ZURETTE</t>
  </si>
  <si>
    <t>884094020409</t>
  </si>
  <si>
    <t>DKA477C009MC</t>
  </si>
  <si>
    <t>ZIP FRONT RUFFLE SHOULDE</t>
  </si>
  <si>
    <t>193290219785</t>
  </si>
  <si>
    <t>AP1E206708</t>
  </si>
  <si>
    <t>WRAP METALLIC JERSEY SHO</t>
  </si>
  <si>
    <t>652933439794</t>
  </si>
  <si>
    <t>652933439787</t>
  </si>
  <si>
    <t>652933439770</t>
  </si>
  <si>
    <t>652933439206</t>
  </si>
  <si>
    <t>25U8627ETI</t>
  </si>
  <si>
    <t>WRAP ALL OVER SEQUIN</t>
  </si>
  <si>
    <t>191170255748</t>
  </si>
  <si>
    <t>191170255779</t>
  </si>
  <si>
    <t>191170255786</t>
  </si>
  <si>
    <t>SHELL: NYLON/METALLIC; LINING: POLYESTER</t>
  </si>
  <si>
    <t>A8HL3E1A</t>
  </si>
  <si>
    <t>WOMEN WOVEN DRESSAVY</t>
  </si>
  <si>
    <t>192114600082</t>
  </si>
  <si>
    <t>192114600136</t>
  </si>
  <si>
    <t>A8FS1D3U</t>
  </si>
  <si>
    <t>192114298319</t>
  </si>
  <si>
    <t>192114274542</t>
  </si>
  <si>
    <t>192114696221</t>
  </si>
  <si>
    <t>193623892739</t>
  </si>
  <si>
    <t>193623853259</t>
  </si>
  <si>
    <t>193623853334</t>
  </si>
  <si>
    <t>CT9C17BG</t>
  </si>
  <si>
    <t>194414961115</t>
  </si>
  <si>
    <t>CD9C57NT</t>
  </si>
  <si>
    <t>194414971060</t>
  </si>
  <si>
    <t>194414971114</t>
  </si>
  <si>
    <t>193623468606</t>
  </si>
  <si>
    <t>193623431549</t>
  </si>
  <si>
    <t>193623468644</t>
  </si>
  <si>
    <t>193623431686</t>
  </si>
  <si>
    <t>KDKP0382</t>
  </si>
  <si>
    <t>WM PLYR DRESS K82</t>
  </si>
  <si>
    <t>192673947147</t>
  </si>
  <si>
    <t>193629003092</t>
  </si>
  <si>
    <t>KDLP0309</t>
  </si>
  <si>
    <t>WM PLYR DRESS K09</t>
  </si>
  <si>
    <t>193629861999</t>
  </si>
  <si>
    <t>POLYESTER/SPANDEX; COMBO: NYLON/SPANDEX</t>
  </si>
  <si>
    <t>GDLP3044</t>
  </si>
  <si>
    <t>888807477412</t>
  </si>
  <si>
    <t>888807477405</t>
  </si>
  <si>
    <t>888807477450</t>
  </si>
  <si>
    <t>888807477481</t>
  </si>
  <si>
    <t>888807471762</t>
  </si>
  <si>
    <t>888807475036</t>
  </si>
  <si>
    <t>888807466454</t>
  </si>
  <si>
    <t>888807466409</t>
  </si>
  <si>
    <t>888807466461</t>
  </si>
  <si>
    <t>GDKP2928</t>
  </si>
  <si>
    <t>WM PLYR DRESS G28</t>
  </si>
  <si>
    <t>888807597028</t>
  </si>
  <si>
    <t>888807555028</t>
  </si>
  <si>
    <t>888807597035</t>
  </si>
  <si>
    <t>888807470796</t>
  </si>
  <si>
    <t>POLYESTER/SPANDEX; LINING: POLYETER</t>
  </si>
  <si>
    <t>GDLP2501</t>
  </si>
  <si>
    <t>WM PLYR DRESS G01</t>
  </si>
  <si>
    <t>888807481495</t>
  </si>
  <si>
    <t>CT0X9C07</t>
  </si>
  <si>
    <t>WM JPST DAYTIME C07</t>
  </si>
  <si>
    <t>700289055547</t>
  </si>
  <si>
    <t>193623679224</t>
  </si>
  <si>
    <t>POLYESTER/SPANDEX; SKIRT SHELL AND LINING: POLYESTER</t>
  </si>
  <si>
    <t>AP1E206625</t>
  </si>
  <si>
    <t>VNECK TIE WAIST GOWN</t>
  </si>
  <si>
    <t>652933489454</t>
  </si>
  <si>
    <t>SHELL: POLYESTER/LUREX® METALLIC THREADS/RAYON; LINING: POLYESTER</t>
  </si>
  <si>
    <t>HQ05W39</t>
  </si>
  <si>
    <t>VNECK STRIPE JAQUARED</t>
  </si>
  <si>
    <t>192523578989</t>
  </si>
  <si>
    <t>DD9J1544</t>
  </si>
  <si>
    <t>795731956626</t>
  </si>
  <si>
    <t>795731951119</t>
  </si>
  <si>
    <t>1647BN</t>
  </si>
  <si>
    <t>V-NECK LACE UP BACK CHAR</t>
  </si>
  <si>
    <t>749709788771</t>
  </si>
  <si>
    <t>635273656830</t>
  </si>
  <si>
    <t>884094542666</t>
  </si>
  <si>
    <t>884094542642</t>
  </si>
  <si>
    <t>883806443802</t>
  </si>
  <si>
    <t>883806443758</t>
  </si>
  <si>
    <t>CD9V15TP</t>
  </si>
  <si>
    <t>VELVET WRAP W TASSELS</t>
  </si>
  <si>
    <t>193623503437</t>
  </si>
  <si>
    <t>193623399269</t>
  </si>
  <si>
    <t>193623399160</t>
  </si>
  <si>
    <t>1708L</t>
  </si>
  <si>
    <t>VELVET W FAGGOTING</t>
  </si>
  <si>
    <t>755179515748</t>
  </si>
  <si>
    <t>193623463182</t>
  </si>
  <si>
    <t>889631121878</t>
  </si>
  <si>
    <t>889631121861</t>
  </si>
  <si>
    <t>661414656254</t>
  </si>
  <si>
    <t>JH9W5537</t>
  </si>
  <si>
    <t>VELVET FLOCKED</t>
  </si>
  <si>
    <t>689886547528</t>
  </si>
  <si>
    <t>SHELL: POLYESTER/ ELASTANE; LINING: POLYESTER</t>
  </si>
  <si>
    <t>VAWLISA</t>
  </si>
  <si>
    <t>884094534548</t>
  </si>
  <si>
    <t>194414965441</t>
  </si>
  <si>
    <t>194414965397</t>
  </si>
  <si>
    <t>193623463090</t>
  </si>
  <si>
    <t>193623454999</t>
  </si>
  <si>
    <t>POLYESTER/SPANDEX; FAUX LEATHER: POLYURETHANE</t>
  </si>
  <si>
    <t>CD9C1E79</t>
  </si>
  <si>
    <t>V NECK F&amp;F W PLEATHER TR</t>
  </si>
  <si>
    <t>193623320126</t>
  </si>
  <si>
    <t>193623744762</t>
  </si>
  <si>
    <t>192081261125</t>
  </si>
  <si>
    <t>192081261132</t>
  </si>
  <si>
    <t>GDLR3279</t>
  </si>
  <si>
    <t>V NECK BANDAGE</t>
  </si>
  <si>
    <t>888807474930</t>
  </si>
  <si>
    <t>888807467307</t>
  </si>
  <si>
    <t>888807467291</t>
  </si>
  <si>
    <t>POLYESTER/RAYON/COTTON/NYLON; LINING: POLYESTER</t>
  </si>
  <si>
    <t>CT9T1C72</t>
  </si>
  <si>
    <t>TWEED SHIFT W FRINGE BOT</t>
  </si>
  <si>
    <t>193623458294</t>
  </si>
  <si>
    <t>L 18</t>
  </si>
  <si>
    <t>FA1646DR</t>
  </si>
  <si>
    <t>TWEED DRESS</t>
  </si>
  <si>
    <t>810003778468</t>
  </si>
  <si>
    <t>708008599136</t>
  </si>
  <si>
    <t>708008599129</t>
  </si>
  <si>
    <t>8306BF8AT3</t>
  </si>
  <si>
    <t>TUBE BOW CONTRAST</t>
  </si>
  <si>
    <t>708008590805</t>
  </si>
  <si>
    <t>888815170503</t>
  </si>
  <si>
    <t>TRAVA</t>
  </si>
  <si>
    <t>884094017843</t>
  </si>
  <si>
    <t>884094116782</t>
  </si>
  <si>
    <t>CT9C1N63</t>
  </si>
  <si>
    <t>TIE NECK JUMPSUIT</t>
  </si>
  <si>
    <t>194414960729</t>
  </si>
  <si>
    <t>889631048991</t>
  </si>
  <si>
    <t>SVET</t>
  </si>
  <si>
    <t>883806346738</t>
  </si>
  <si>
    <t>DKD003A338MC</t>
  </si>
  <si>
    <t>SURPLICE ASYM BTN CORD</t>
  </si>
  <si>
    <t>193290275224</t>
  </si>
  <si>
    <t>696691455306</t>
  </si>
  <si>
    <t>B8JD624</t>
  </si>
  <si>
    <t>SUEDE FLOUNCE F&amp;F</t>
  </si>
  <si>
    <t>192284614155</t>
  </si>
  <si>
    <t>ACRYLIC/NYLON/SPANDEX</t>
  </si>
  <si>
    <t>JH9W0394</t>
  </si>
  <si>
    <t>STRIPE F&amp;F</t>
  </si>
  <si>
    <t>689886517996</t>
  </si>
  <si>
    <t>884002918613</t>
  </si>
  <si>
    <t>884002918606</t>
  </si>
  <si>
    <t>A22822</t>
  </si>
  <si>
    <t>STRETCH SATIN L/S</t>
  </si>
  <si>
    <t>749709769169</t>
  </si>
  <si>
    <t>POLYESTER/METALLIC/ELASTANE</t>
  </si>
  <si>
    <t>AP1E206574</t>
  </si>
  <si>
    <t>STRETCH LAME PARTY DRESS</t>
  </si>
  <si>
    <t>652933481656</t>
  </si>
  <si>
    <t>HQ05W11</t>
  </si>
  <si>
    <t>STRAPPY JACQUARD FIT</t>
  </si>
  <si>
    <t>192523581576</t>
  </si>
  <si>
    <t>791841035022</t>
  </si>
  <si>
    <t>791841035503</t>
  </si>
  <si>
    <t>689886495218</t>
  </si>
  <si>
    <t>689886495171</t>
  </si>
  <si>
    <t>HJ57750</t>
  </si>
  <si>
    <t>STRAPPLESS SEQUIN</t>
  </si>
  <si>
    <t>661414656971</t>
  </si>
  <si>
    <t>661414656926</t>
  </si>
  <si>
    <t>STRAPPLESS OMBRE SEQUIN</t>
  </si>
  <si>
    <t>192096498547</t>
  </si>
  <si>
    <t>191170255700</t>
  </si>
  <si>
    <t>708008605349</t>
  </si>
  <si>
    <t>708008605363</t>
  </si>
  <si>
    <t>3012AH7BT3</t>
  </si>
  <si>
    <t>STRAP BELTED LACE</t>
  </si>
  <si>
    <t>708008594025</t>
  </si>
  <si>
    <t>193623853020</t>
  </si>
  <si>
    <t>SHELL: COTTON/NYLON/RAYON; LINING: POLYESTER</t>
  </si>
  <si>
    <t>FQ05K90</t>
  </si>
  <si>
    <t>SS SHIFT LACE W COLLAR</t>
  </si>
  <si>
    <t>192523575421</t>
  </si>
  <si>
    <t>192523575353</t>
  </si>
  <si>
    <t>192673331373</t>
  </si>
  <si>
    <t>192673331380</t>
  </si>
  <si>
    <t>FQK5K34</t>
  </si>
  <si>
    <t>SS FF W RUFFLE HEM</t>
  </si>
  <si>
    <t>192523576770</t>
  </si>
  <si>
    <t>192523576756</t>
  </si>
  <si>
    <t>191170255137</t>
  </si>
  <si>
    <t>NYLON/POLYESTER/METALLIC THREADING/SPANDEX; LINING: POLYESTER</t>
  </si>
  <si>
    <t>SQ DISCO DOT SHEATH</t>
  </si>
  <si>
    <t>707762224254</t>
  </si>
  <si>
    <t>652933455213</t>
  </si>
  <si>
    <t>689886514704</t>
  </si>
  <si>
    <t>192351721649</t>
  </si>
  <si>
    <t>193623472481</t>
  </si>
  <si>
    <t>JH9W9003</t>
  </si>
  <si>
    <t>689886501070</t>
  </si>
  <si>
    <t>689886501049</t>
  </si>
  <si>
    <t>1776BN</t>
  </si>
  <si>
    <t>SPAGETTI SWEETHEART DOUB</t>
  </si>
  <si>
    <t>749709787491</t>
  </si>
  <si>
    <t>749709787521</t>
  </si>
  <si>
    <t>H377984</t>
  </si>
  <si>
    <t>SOME SORT OF PETAL HERE</t>
  </si>
  <si>
    <t>661414656759</t>
  </si>
  <si>
    <t>TLMF9WE901</t>
  </si>
  <si>
    <t>SLVS SHORT JACQ DRESS</t>
  </si>
  <si>
    <t>635273660677</t>
  </si>
  <si>
    <t>SHELL: RAYON/SPANDEX; LINING: POLYESTER</t>
  </si>
  <si>
    <t>4XGP237</t>
  </si>
  <si>
    <t>SLVLS VNK FITTED DRE</t>
  </si>
  <si>
    <t>791841068778</t>
  </si>
  <si>
    <t>SLVLS PARTY DRESS</t>
  </si>
  <si>
    <t>794795104653</t>
  </si>
  <si>
    <t>POLYESTER; LINING: POLYESTER/ELASTANE</t>
  </si>
  <si>
    <t>TLMF9WE869</t>
  </si>
  <si>
    <t>SLVLS MIKADO MIDI DRESS</t>
  </si>
  <si>
    <t>635273660394</t>
  </si>
  <si>
    <t>TLMF9WD876</t>
  </si>
  <si>
    <t>SLV METALLIC CHIFFON FLR</t>
  </si>
  <si>
    <t>635273666327</t>
  </si>
  <si>
    <t>VCMA0029</t>
  </si>
  <si>
    <t>SLS METALLIC KNIT GOWN</t>
  </si>
  <si>
    <t>689886559408</t>
  </si>
  <si>
    <t>POLYESTER/SPANDEX; TRIM: POLYESTER</t>
  </si>
  <si>
    <t>A9FS3CE1</t>
  </si>
  <si>
    <t>SL SCUBA VELVET FNF</t>
  </si>
  <si>
    <t>192114081157</t>
  </si>
  <si>
    <t>X9FC1JJ1</t>
  </si>
  <si>
    <t>SL SC CB FNF</t>
  </si>
  <si>
    <t>192114067601</t>
  </si>
  <si>
    <t>192523574394</t>
  </si>
  <si>
    <t>191797075033</t>
  </si>
  <si>
    <t>192114080877</t>
  </si>
  <si>
    <t>192114080860</t>
  </si>
  <si>
    <t>192114074654</t>
  </si>
  <si>
    <t>802892010699</t>
  </si>
  <si>
    <t>POLYESTER/METALLIC THREADING/NYLON; LINING: POLYESTER</t>
  </si>
  <si>
    <t>HQ05W77</t>
  </si>
  <si>
    <t>SL JAQUARD W BUTTONS</t>
  </si>
  <si>
    <t>192523585437</t>
  </si>
  <si>
    <t>192114076672</t>
  </si>
  <si>
    <t>14 T/L</t>
  </si>
  <si>
    <t>652933573245</t>
  </si>
  <si>
    <t>652933573252</t>
  </si>
  <si>
    <t>652933035347</t>
  </si>
  <si>
    <t>191937898836</t>
  </si>
  <si>
    <t>889177537935</t>
  </si>
  <si>
    <t>A21784W</t>
  </si>
  <si>
    <t>SHT MET KNIT CAPE</t>
  </si>
  <si>
    <t>749709694843</t>
  </si>
  <si>
    <t>B188</t>
  </si>
  <si>
    <t>SHT ITY DRAPE BK BASIC</t>
  </si>
  <si>
    <t>749709790316</t>
  </si>
  <si>
    <t>884002909987</t>
  </si>
  <si>
    <t>193596504660</t>
  </si>
  <si>
    <t>ACETATE/POLYESTER/SPANDEX; LINING: POLYESTER</t>
  </si>
  <si>
    <t>SHORT V-NECK A-LINE DRES</t>
  </si>
  <si>
    <t>884002917616</t>
  </si>
  <si>
    <t>SHORT SHIFT DRESS</t>
  </si>
  <si>
    <t>884002922030</t>
  </si>
  <si>
    <t>SHELL: RAYON; LINING: POLYESTER</t>
  </si>
  <si>
    <t>1927SE</t>
  </si>
  <si>
    <t>SHORT DRESS</t>
  </si>
  <si>
    <t>644432535343</t>
  </si>
  <si>
    <t>3381SE</t>
  </si>
  <si>
    <t>644432541795</t>
  </si>
  <si>
    <t>5444NG</t>
  </si>
  <si>
    <t>644432542570</t>
  </si>
  <si>
    <t>SHIMMER TIERED SHIFT</t>
  </si>
  <si>
    <t>794795105933</t>
  </si>
  <si>
    <t>T1210799L1</t>
  </si>
  <si>
    <t>SHEER CAPE SLV VNK S</t>
  </si>
  <si>
    <t>888815811932</t>
  </si>
  <si>
    <t>192351069000</t>
  </si>
  <si>
    <t>192351069017</t>
  </si>
  <si>
    <t>193623431969</t>
  </si>
  <si>
    <t>193623431976</t>
  </si>
  <si>
    <t>193623431945</t>
  </si>
  <si>
    <t>193623431952</t>
  </si>
  <si>
    <t>887840250730</t>
  </si>
  <si>
    <t>887840250747</t>
  </si>
  <si>
    <t>HOB4288</t>
  </si>
  <si>
    <t>SEQUIN TUBE</t>
  </si>
  <si>
    <t>887840373163</t>
  </si>
  <si>
    <t>SKIRT: POLYESTER; BODICE: NYLON; LINING: POLYESTER</t>
  </si>
  <si>
    <t>JH9P6051</t>
  </si>
  <si>
    <t>SEQUIN TOP DRESS</t>
  </si>
  <si>
    <t>689886511123</t>
  </si>
  <si>
    <t>193623469023</t>
  </si>
  <si>
    <t>GDLN3639</t>
  </si>
  <si>
    <t>SEQUIN LACE</t>
  </si>
  <si>
    <t>888807467802</t>
  </si>
  <si>
    <t>CD9B1J10</t>
  </si>
  <si>
    <t>SEQUIN HI LOW BALL GOWN</t>
  </si>
  <si>
    <t>193623431600</t>
  </si>
  <si>
    <t>CD9B1H57</t>
  </si>
  <si>
    <t>SEQUIN FOLD OVER OTS JUM</t>
  </si>
  <si>
    <t>193623431280</t>
  </si>
  <si>
    <t>193623462345</t>
  </si>
  <si>
    <t>AP1E206239</t>
  </si>
  <si>
    <t>SEQUIN COCKTAIL DRESS</t>
  </si>
  <si>
    <t>652933420457</t>
  </si>
  <si>
    <t>AP1E207151</t>
  </si>
  <si>
    <t>SEQUIN BLOUSE</t>
  </si>
  <si>
    <t>652933588119</t>
  </si>
  <si>
    <t>652933588133</t>
  </si>
  <si>
    <t>192114715311</t>
  </si>
  <si>
    <t>724432809276</t>
  </si>
  <si>
    <t>DD9I1750</t>
  </si>
  <si>
    <t>SCAR RUFFLE V NECK 3 4DD9</t>
  </si>
  <si>
    <t>795733021995</t>
  </si>
  <si>
    <t>HPN3405</t>
  </si>
  <si>
    <t>SCALLOP OFF SHOUDLER</t>
  </si>
  <si>
    <t>887840378380</t>
  </si>
  <si>
    <t>887840378366</t>
  </si>
  <si>
    <t>POLYESTER/SPANDEX; PARTIAL LINING: POLYESTER/SPANDEX</t>
  </si>
  <si>
    <t>P9FC1KDD</t>
  </si>
  <si>
    <t>SC CB JUMPSUIT</t>
  </si>
  <si>
    <t>192114133764</t>
  </si>
  <si>
    <t>192114133771</t>
  </si>
  <si>
    <t>192114133757</t>
  </si>
  <si>
    <t>SHELL, LINING, INSET: POLYESTER</t>
  </si>
  <si>
    <t>D80092QG5</t>
  </si>
  <si>
    <t>SATIN SPAGETTI STRAP</t>
  </si>
  <si>
    <t>747941746535</t>
  </si>
  <si>
    <t>HS337627</t>
  </si>
  <si>
    <t>SATIN ILLUSION BACK</t>
  </si>
  <si>
    <t>661414656155</t>
  </si>
  <si>
    <t>795733020202</t>
  </si>
  <si>
    <t>708008590928</t>
  </si>
  <si>
    <t>193623509811</t>
  </si>
  <si>
    <t>TOP: POLYESTER/RAYON/SPANDEX; SKIRT: POLYESTER/SPANDEX</t>
  </si>
  <si>
    <t>CX9P2A27</t>
  </si>
  <si>
    <t>S/S T- BODY W PLAID BOTT</t>
  </si>
  <si>
    <t>193623495152</t>
  </si>
  <si>
    <t>POLYESTER/COTTON/SPANDEX</t>
  </si>
  <si>
    <t>CT9P28QQ</t>
  </si>
  <si>
    <t>S/S PONTE JACQUARD T BOD</t>
  </si>
  <si>
    <t>193623848002</t>
  </si>
  <si>
    <t>192351061929</t>
  </si>
  <si>
    <t>POLYESTER/SPANDEX; TRIM: NYLON/LYCRA; LINING: POLYESTER</t>
  </si>
  <si>
    <t>2744X</t>
  </si>
  <si>
    <t>S/S ILLUSION TOP AND BOT</t>
  </si>
  <si>
    <t>191837153646</t>
  </si>
  <si>
    <t>689886561210</t>
  </si>
  <si>
    <t>DD9HU140</t>
  </si>
  <si>
    <t>S/L SHEATH WITH ASYMMETR</t>
  </si>
  <si>
    <t>795733076032</t>
  </si>
  <si>
    <t>NYLON; LINING &amp; MESH: POLYESTER</t>
  </si>
  <si>
    <t>CD9B53C4</t>
  </si>
  <si>
    <t>S/L SEQUIN LONG GOWN</t>
  </si>
  <si>
    <t>193623436513</t>
  </si>
  <si>
    <t>DD9IM844</t>
  </si>
  <si>
    <t>S/L SEAMED FIT &amp; FLARE</t>
  </si>
  <si>
    <t>795733032281</t>
  </si>
  <si>
    <t>192114003593</t>
  </si>
  <si>
    <t>DD9H7582</t>
  </si>
  <si>
    <t>S/L RUCHED SHEATH</t>
  </si>
  <si>
    <t>795733123033</t>
  </si>
  <si>
    <t>795733123064</t>
  </si>
  <si>
    <t>RB61870P</t>
  </si>
  <si>
    <t>S/L POLKA DOT MOCK NCK</t>
  </si>
  <si>
    <t>889648380343</t>
  </si>
  <si>
    <t>DD9J1978</t>
  </si>
  <si>
    <t>795731948645</t>
  </si>
  <si>
    <t>795731955513</t>
  </si>
  <si>
    <t>JA38001DNE</t>
  </si>
  <si>
    <t>S/L LACE TOP F&amp;F LACE WA</t>
  </si>
  <si>
    <t>747941763419</t>
  </si>
  <si>
    <t>SHELL: NYLON/POLYESTER/SPANDEX; LINING: POLYESTER/SPANDEX</t>
  </si>
  <si>
    <t>A9HL1JEV</t>
  </si>
  <si>
    <t>S/L FLRL STRTCH LC FNF</t>
  </si>
  <si>
    <t>192114007263</t>
  </si>
  <si>
    <t>192114005115</t>
  </si>
  <si>
    <t>192114002480</t>
  </si>
  <si>
    <t>192114005139</t>
  </si>
  <si>
    <t>POLYESTER/RAYON/NYLON/SPANDEX</t>
  </si>
  <si>
    <t>DD9JN359</t>
  </si>
  <si>
    <t>795731955209</t>
  </si>
  <si>
    <t>192114001827</t>
  </si>
  <si>
    <t>CT9C14GT</t>
  </si>
  <si>
    <t>RUFFLE SHOULDER SHEATH</t>
  </si>
  <si>
    <t>193623398729</t>
  </si>
  <si>
    <t>FQ06K14</t>
  </si>
  <si>
    <t>RUFFLE HEM V NECK</t>
  </si>
  <si>
    <t>192523573779</t>
  </si>
  <si>
    <t>192523573786</t>
  </si>
  <si>
    <t>192523573762</t>
  </si>
  <si>
    <t>191797086053</t>
  </si>
  <si>
    <t>191797086077</t>
  </si>
  <si>
    <t>191797086046</t>
  </si>
  <si>
    <t>CT9C1D76</t>
  </si>
  <si>
    <t>194414961078</t>
  </si>
  <si>
    <t>CD9B19C4</t>
  </si>
  <si>
    <t>REORDER SIDE ROUCH GOWN</t>
  </si>
  <si>
    <t>193623436360</t>
  </si>
  <si>
    <t>3249X</t>
  </si>
  <si>
    <t>REORDER BEST SELLER</t>
  </si>
  <si>
    <t>191837207387</t>
  </si>
  <si>
    <t>CX9C11TD</t>
  </si>
  <si>
    <t>RED WM POLY DRESS CCU</t>
  </si>
  <si>
    <t>193623228286</t>
  </si>
  <si>
    <t>CD9H3Q80</t>
  </si>
  <si>
    <t>194414964710</t>
  </si>
  <si>
    <t>791841047131</t>
  </si>
  <si>
    <t>887840378311</t>
  </si>
  <si>
    <t>650868870378</t>
  </si>
  <si>
    <t>888807476163</t>
  </si>
  <si>
    <t>888807476156</t>
  </si>
  <si>
    <t>KDLP0631</t>
  </si>
  <si>
    <t>PRINTED HANKY HEM FF</t>
  </si>
  <si>
    <t>193629021126</t>
  </si>
  <si>
    <t>PRINTED HALTER MAXI</t>
  </si>
  <si>
    <t>794795102048</t>
  </si>
  <si>
    <t>RAYON/POLYESTER/NYLON/SPANDEX; LINING &amp; CRINOLINE: POLYESTER</t>
  </si>
  <si>
    <t>JH9M8799</t>
  </si>
  <si>
    <t>PORTRAIT COLLAR BALLGOWN</t>
  </si>
  <si>
    <t>689886545616</t>
  </si>
  <si>
    <t>191170265341</t>
  </si>
  <si>
    <t>20W AVER</t>
  </si>
  <si>
    <t>3561W</t>
  </si>
  <si>
    <t>PLUM 1PC SHEER TRIM ANGEL</t>
  </si>
  <si>
    <t>707762187658</t>
  </si>
  <si>
    <t>802892284205</t>
  </si>
  <si>
    <t>193623852795</t>
  </si>
  <si>
    <t>CX9C182U</t>
  </si>
  <si>
    <t>PIPED BELL SLEEVE</t>
  </si>
  <si>
    <t>192351433122</t>
  </si>
  <si>
    <t>PETA FQP3473 LACE TRIM BA</t>
  </si>
  <si>
    <t>887840378090</t>
  </si>
  <si>
    <t>883806035564</t>
  </si>
  <si>
    <t>883806035540</t>
  </si>
  <si>
    <t>883806035601</t>
  </si>
  <si>
    <t>193623466251</t>
  </si>
  <si>
    <t>1133M77</t>
  </si>
  <si>
    <t>PAT COWL NECK STRAPPY FI</t>
  </si>
  <si>
    <t>650868669125</t>
  </si>
  <si>
    <t>884094262243</t>
  </si>
  <si>
    <t>884094029716</t>
  </si>
  <si>
    <t>884094262311</t>
  </si>
  <si>
    <t>884094262236</t>
  </si>
  <si>
    <t>AP1E206431</t>
  </si>
  <si>
    <t>OTS MATLISSE LONG WITH R</t>
  </si>
  <si>
    <t>652933461528</t>
  </si>
  <si>
    <t>OTS LONG TAF DRESS</t>
  </si>
  <si>
    <t>884002329310</t>
  </si>
  <si>
    <t>652933485111</t>
  </si>
  <si>
    <t>652933485135</t>
  </si>
  <si>
    <t>BODICE: POLYESTER/ELASTANE; SKIRT AND LINING: POLYESTER</t>
  </si>
  <si>
    <t>AP1E206587</t>
  </si>
  <si>
    <t>OTS LONG DRS</t>
  </si>
  <si>
    <t>652933431149</t>
  </si>
  <si>
    <t>SHELL, LINING &amp; SLEEVES: POLYESTER</t>
  </si>
  <si>
    <t>TMB28111M1</t>
  </si>
  <si>
    <t>OPEN SHLDR JUMPSUIT</t>
  </si>
  <si>
    <t>888815439259</t>
  </si>
  <si>
    <t>889631122080</t>
  </si>
  <si>
    <t>661414661111</t>
  </si>
  <si>
    <t>H288025</t>
  </si>
  <si>
    <t>ONE SHOULDER LONG SLEEVE</t>
  </si>
  <si>
    <t>661414662163</t>
  </si>
  <si>
    <t>652933462402</t>
  </si>
  <si>
    <t>689886495355</t>
  </si>
  <si>
    <t>VCMA5964</t>
  </si>
  <si>
    <t>OFF THE-SHOULDER VCM</t>
  </si>
  <si>
    <t>689886566017</t>
  </si>
  <si>
    <t>VISCOSE/NYLON; LINING: POLYESTER</t>
  </si>
  <si>
    <t>AP1E207215</t>
  </si>
  <si>
    <t>OFF THE SHOULDER LACE GO</t>
  </si>
  <si>
    <t>652933605526</t>
  </si>
  <si>
    <t>652933603393</t>
  </si>
  <si>
    <t>1787X</t>
  </si>
  <si>
    <t>OFF SHOULDER VELVET SHORBASIC</t>
  </si>
  <si>
    <t>191837089808</t>
  </si>
  <si>
    <t>8145AV7BT3</t>
  </si>
  <si>
    <t>OFF SHOULDER HEAVY BEADE</t>
  </si>
  <si>
    <t>708008576946</t>
  </si>
  <si>
    <t>SHELL: POLYESTER/SPANDEX; LINING: ALL POLYESTER</t>
  </si>
  <si>
    <t>VCMA8433</t>
  </si>
  <si>
    <t>OFF SHOULDER BODYVCM</t>
  </si>
  <si>
    <t>689886494754</t>
  </si>
  <si>
    <t>689886494761</t>
  </si>
  <si>
    <t>VCMA9672</t>
  </si>
  <si>
    <t>OFF SHLDR GWN W TVCM</t>
  </si>
  <si>
    <t>689886558555</t>
  </si>
  <si>
    <t>689886558531</t>
  </si>
  <si>
    <t>689886558579</t>
  </si>
  <si>
    <t>689886558586</t>
  </si>
  <si>
    <t>749709796554</t>
  </si>
  <si>
    <t>CT9C16YM</t>
  </si>
  <si>
    <t>NOTCH COLLAR JUMPSUIT</t>
  </si>
  <si>
    <t>193623697273</t>
  </si>
  <si>
    <t>884094075072</t>
  </si>
  <si>
    <t>884094022830</t>
  </si>
  <si>
    <t>884094022809</t>
  </si>
  <si>
    <t>POLYESTER/SPANDEX; PARTIALLY LINED SKIRT: POLYESTER; FAUX-LEATHER BELT: POLYURETHANE</t>
  </si>
  <si>
    <t>CT9C1B80</t>
  </si>
  <si>
    <t>NEW V NECK INSET BELTED</t>
  </si>
  <si>
    <t>193623497644</t>
  </si>
  <si>
    <t>193623848644</t>
  </si>
  <si>
    <t>194414964451</t>
  </si>
  <si>
    <t>883806166688</t>
  </si>
  <si>
    <t>883806166695</t>
  </si>
  <si>
    <t>NAVY CRPE DBL STP MIDI BASIC</t>
  </si>
  <si>
    <t>191837167919</t>
  </si>
  <si>
    <t>NASTASIA</t>
  </si>
  <si>
    <t>883806087365</t>
  </si>
  <si>
    <t>MULT TRIPLE TIER BLOUSE</t>
  </si>
  <si>
    <t>884002755072</t>
  </si>
  <si>
    <t>707762094062</t>
  </si>
  <si>
    <t>A9FK1XFK</t>
  </si>
  <si>
    <t>MOCK NECK VELVET</t>
  </si>
  <si>
    <t>192114074531</t>
  </si>
  <si>
    <t>192114074548</t>
  </si>
  <si>
    <t>795733020011</t>
  </si>
  <si>
    <t>CD9L1M51</t>
  </si>
  <si>
    <t>MOCK NECK LACE HI LOW MI</t>
  </si>
  <si>
    <t>194414964611</t>
  </si>
  <si>
    <t>SHELL: POLYESTER/SPANDEX; SLEEVES: POLYESTER</t>
  </si>
  <si>
    <t>P9HJ1AJ9</t>
  </si>
  <si>
    <t>MJ/CHIFFON SHTH</t>
  </si>
  <si>
    <t>192114004378</t>
  </si>
  <si>
    <t>CD9L24TU</t>
  </si>
  <si>
    <t>MJ TOP /CLIP DOT MIDI SK</t>
  </si>
  <si>
    <t>194414964512</t>
  </si>
  <si>
    <t>652933463508</t>
  </si>
  <si>
    <t>652933463492</t>
  </si>
  <si>
    <t>652933463423</t>
  </si>
  <si>
    <t>652933463416</t>
  </si>
  <si>
    <t>FQR6K11</t>
  </si>
  <si>
    <t>MIDI W LIP LACE HEM</t>
  </si>
  <si>
    <t>192523576558</t>
  </si>
  <si>
    <t>MIDI OFFSHLD DRESS</t>
  </si>
  <si>
    <t>628732783789</t>
  </si>
  <si>
    <t>193623260644</t>
  </si>
  <si>
    <t>193623260675</t>
  </si>
  <si>
    <t>3013134J</t>
  </si>
  <si>
    <t>METALLIC TRIM BLOUSON</t>
  </si>
  <si>
    <t>192081233993</t>
  </si>
  <si>
    <t>661414660954</t>
  </si>
  <si>
    <t>661414660909</t>
  </si>
  <si>
    <t>661414660961</t>
  </si>
  <si>
    <t>661414661241</t>
  </si>
  <si>
    <t>661414661197</t>
  </si>
  <si>
    <t>661414661180</t>
  </si>
  <si>
    <t>A9FK1RJ1</t>
  </si>
  <si>
    <t>MENSWEAR STRIPE FNF</t>
  </si>
  <si>
    <t>192114137731</t>
  </si>
  <si>
    <t>A9FK3R9F</t>
  </si>
  <si>
    <t>MENSWEAR PLAID PKT DRESS</t>
  </si>
  <si>
    <t>192114140793</t>
  </si>
  <si>
    <t>192087160156</t>
  </si>
  <si>
    <t>P9HC1CSA</t>
  </si>
  <si>
    <t>LS/ CHAIN NECK SHTH</t>
  </si>
  <si>
    <t>192114006464</t>
  </si>
  <si>
    <t>192114006471</t>
  </si>
  <si>
    <t>192114001445</t>
  </si>
  <si>
    <t>192114006488</t>
  </si>
  <si>
    <t>192114006457</t>
  </si>
  <si>
    <t>DSC8334-01</t>
  </si>
  <si>
    <t>LS V NECK VELVET</t>
  </si>
  <si>
    <t>887510198577</t>
  </si>
  <si>
    <t>CT9H2M65</t>
  </si>
  <si>
    <t>LS TRAPEZE</t>
  </si>
  <si>
    <t>193623266387</t>
  </si>
  <si>
    <t>652933438827</t>
  </si>
  <si>
    <t>652933356886</t>
  </si>
  <si>
    <t>VC9P5595</t>
  </si>
  <si>
    <t>LS SEQUIN KNIT</t>
  </si>
  <si>
    <t>689886554793</t>
  </si>
  <si>
    <t>689886554649</t>
  </si>
  <si>
    <t>707762211452</t>
  </si>
  <si>
    <t>888807470369</t>
  </si>
  <si>
    <t>194414981458</t>
  </si>
  <si>
    <t>SHELL, VELVET: POLYESTER/RAYON/SPANDEX; LINING: POLYESTER</t>
  </si>
  <si>
    <t>JH9P8600</t>
  </si>
  <si>
    <t>LS BURNOUT SHEATH</t>
  </si>
  <si>
    <t>689886520965</t>
  </si>
  <si>
    <t>747941788634</t>
  </si>
  <si>
    <t>747941788566</t>
  </si>
  <si>
    <t>884002913519</t>
  </si>
  <si>
    <t>TDU2495I</t>
  </si>
  <si>
    <t>LONG SLEEVE ITY LOW BACK</t>
  </si>
  <si>
    <t>889631123513</t>
  </si>
  <si>
    <t>LONG PRINTED HIGH/LOW HE</t>
  </si>
  <si>
    <t>884002918057</t>
  </si>
  <si>
    <t>884002918033</t>
  </si>
  <si>
    <t>LONG OFF THE SHOULDER FI</t>
  </si>
  <si>
    <t>884002910655</t>
  </si>
  <si>
    <t>LONG CLMN SEQ LACE DRESS</t>
  </si>
  <si>
    <t>794795104721</t>
  </si>
  <si>
    <t>POLYESTER/SPANDEX; YOKE AND LINING: POLYESTER</t>
  </si>
  <si>
    <t>LONG CAP SLV DRS</t>
  </si>
  <si>
    <t>884002787066</t>
  </si>
  <si>
    <t>XC174</t>
  </si>
  <si>
    <t>LNG VNECK ITY DRS</t>
  </si>
  <si>
    <t>191837168305</t>
  </si>
  <si>
    <t>749709731647</t>
  </si>
  <si>
    <t>794795015706</t>
  </si>
  <si>
    <t>SHELL: POLYESTER/METALLIC; COMBINATION: POLYESTER/SPANDEX; LINING: POLYESTER</t>
  </si>
  <si>
    <t>JH9M8854</t>
  </si>
  <si>
    <t>LNG SLEEVE PARTY DRESS</t>
  </si>
  <si>
    <t>689886487053</t>
  </si>
  <si>
    <t>689886487039</t>
  </si>
  <si>
    <t>A22445P</t>
  </si>
  <si>
    <t>LNG SCB CRP V NK ROUCH</t>
  </si>
  <si>
    <t>749709723451</t>
  </si>
  <si>
    <t>749709766625</t>
  </si>
  <si>
    <t>2642X</t>
  </si>
  <si>
    <t>LNG ITY VNCK DBL STRP</t>
  </si>
  <si>
    <t>191837162730</t>
  </si>
  <si>
    <t>549XW</t>
  </si>
  <si>
    <t>LNG ILL FLRL APPLIQU</t>
  </si>
  <si>
    <t>191837181878</t>
  </si>
  <si>
    <t>884002161644</t>
  </si>
  <si>
    <t>BRGHT PINK</t>
  </si>
  <si>
    <t>MN1E204300</t>
  </si>
  <si>
    <t>LIQUID SATIN DRESS</t>
  </si>
  <si>
    <t>652933317696</t>
  </si>
  <si>
    <t>652933317733</t>
  </si>
  <si>
    <t>652933317719</t>
  </si>
  <si>
    <t>FQ05W24</t>
  </si>
  <si>
    <t>LEOPARD DRESS W/ V BACK</t>
  </si>
  <si>
    <t>192523671499</t>
  </si>
  <si>
    <t>HQ06K11</t>
  </si>
  <si>
    <t>LBD W FEATHERS</t>
  </si>
  <si>
    <t>192523581484</t>
  </si>
  <si>
    <t>TOP: NYLON/SPANDEX; SKIRT: POLYESTER/SPANDEX; LINING: POLYESTER</t>
  </si>
  <si>
    <t>6722CL4BT1</t>
  </si>
  <si>
    <t>LACE TOP ILLUSION WAIST</t>
  </si>
  <si>
    <t>708008587638</t>
  </si>
  <si>
    <t>888815848730</t>
  </si>
  <si>
    <t>JA99072J974</t>
  </si>
  <si>
    <t>LACE SHOULDER SKATER</t>
  </si>
  <si>
    <t>747941739728</t>
  </si>
  <si>
    <t>714455200969</t>
  </si>
  <si>
    <t>3094XJ8BT1</t>
  </si>
  <si>
    <t>LACE BOW BACK</t>
  </si>
  <si>
    <t>708008578056</t>
  </si>
  <si>
    <t>708008578100</t>
  </si>
  <si>
    <t>708008578063</t>
  </si>
  <si>
    <t>POLYESTER/NYLON/SPANDEX; LINING &amp; SKIRT OVERLAY: POLYESTER</t>
  </si>
  <si>
    <t>HPE3473</t>
  </si>
  <si>
    <t>LACE BACK CHIFFON</t>
  </si>
  <si>
    <t>887840373255</t>
  </si>
  <si>
    <t>DD9J2000</t>
  </si>
  <si>
    <t>L/S V-NECK FAUX WRAP D-R</t>
  </si>
  <si>
    <t>795731939964</t>
  </si>
  <si>
    <t>A9FJ2TU8</t>
  </si>
  <si>
    <t>L/S VALENCIA JRSY FNF V</t>
  </si>
  <si>
    <t>192114075040</t>
  </si>
  <si>
    <t>7870DW1AT3</t>
  </si>
  <si>
    <t>L/S TIR FRONT FOIL</t>
  </si>
  <si>
    <t>708008591567</t>
  </si>
  <si>
    <t>190607484614</t>
  </si>
  <si>
    <t>A9FJ7LU3</t>
  </si>
  <si>
    <t>L/S PATCHWORK A-LINE</t>
  </si>
  <si>
    <t>192114144692</t>
  </si>
  <si>
    <t>SHELL: POLYESTER/SPANDEX; SLEEVES: NYLON/SPANDEX; LINING: POLYESTER</t>
  </si>
  <si>
    <t>P9FC1JEA</t>
  </si>
  <si>
    <t>192114142131</t>
  </si>
  <si>
    <t>A9FC1JEA</t>
  </si>
  <si>
    <t>192114125066</t>
  </si>
  <si>
    <t>192114125028</t>
  </si>
  <si>
    <t>A9FJ1CK9</t>
  </si>
  <si>
    <t>L/S JRSY AZL FLORAL A-LI</t>
  </si>
  <si>
    <t>192114138509</t>
  </si>
  <si>
    <t>192114138486</t>
  </si>
  <si>
    <t>791841043201</t>
  </si>
  <si>
    <t>VCMA9655</t>
  </si>
  <si>
    <t>L/S ANIMAL SIDE SINCH</t>
  </si>
  <si>
    <t>689886559088</t>
  </si>
  <si>
    <t>VCMA0479</t>
  </si>
  <si>
    <t>L/S ANIMAL GLITTER KNIT</t>
  </si>
  <si>
    <t>689886488227</t>
  </si>
  <si>
    <t>689886488180</t>
  </si>
  <si>
    <t>AP1E207674</t>
  </si>
  <si>
    <t>KNIT CREPE PEPLUM TOP</t>
  </si>
  <si>
    <t>652933889520</t>
  </si>
  <si>
    <t>652933889537</t>
  </si>
  <si>
    <t>RD19F936</t>
  </si>
  <si>
    <t>KARLA LEOP SEQUIN MIDI</t>
  </si>
  <si>
    <t>889177534828</t>
  </si>
  <si>
    <t>192114138370</t>
  </si>
  <si>
    <t>192114138394</t>
  </si>
  <si>
    <t>628732570549</t>
  </si>
  <si>
    <t>1567L</t>
  </si>
  <si>
    <t>JERSEY LS JUMPSUIT</t>
  </si>
  <si>
    <t>755179505008</t>
  </si>
  <si>
    <t>JERI LACE</t>
  </si>
  <si>
    <t>884094491957</t>
  </si>
  <si>
    <t>884094491926</t>
  </si>
  <si>
    <t>884094027255</t>
  </si>
  <si>
    <t>884094027194</t>
  </si>
  <si>
    <t>884094027187</t>
  </si>
  <si>
    <t>882909981778</t>
  </si>
  <si>
    <t>ITY STRIPE JUMPSUIT</t>
  </si>
  <si>
    <t>192096507300</t>
  </si>
  <si>
    <t>192096507270</t>
  </si>
  <si>
    <t>192096507263</t>
  </si>
  <si>
    <t>192096507256</t>
  </si>
  <si>
    <t>194414964352</t>
  </si>
  <si>
    <t>CD9M1F28</t>
  </si>
  <si>
    <t>ILLUSION TOP SHORT</t>
  </si>
  <si>
    <t>193623468132</t>
  </si>
  <si>
    <t>JH9P8635</t>
  </si>
  <si>
    <t>ILLUSION JACKET DRESS</t>
  </si>
  <si>
    <t>689886578621</t>
  </si>
  <si>
    <t>JH9W8635</t>
  </si>
  <si>
    <t>689886619607</t>
  </si>
  <si>
    <t>5672P</t>
  </si>
  <si>
    <t>ILLUSION BTM FF</t>
  </si>
  <si>
    <t>707762218499</t>
  </si>
  <si>
    <t>CD9CPB4P</t>
  </si>
  <si>
    <t>HOUNDSTOOTH STARBURST</t>
  </si>
  <si>
    <t>193623853433</t>
  </si>
  <si>
    <t>A23036</t>
  </si>
  <si>
    <t>HOLO KNIT SIDE SINCH</t>
  </si>
  <si>
    <t>749709789693</t>
  </si>
  <si>
    <t>TEG15266I</t>
  </si>
  <si>
    <t>HI LOW SATIN LACE BACK</t>
  </si>
  <si>
    <t>889631123544</t>
  </si>
  <si>
    <t>701144M</t>
  </si>
  <si>
    <t>HALTER RUFFLE TOP JUMP</t>
  </si>
  <si>
    <t>192096514667</t>
  </si>
  <si>
    <t>192096514636</t>
  </si>
  <si>
    <t>192096514612</t>
  </si>
  <si>
    <t>BODY: POLYESTER; CONTRAST: POLYESTER/SPANDEX; LINING: POLYESTER</t>
  </si>
  <si>
    <t>T26YR107</t>
  </si>
  <si>
    <t>HALTER PRINTED SIDE ILLU</t>
  </si>
  <si>
    <t>791841003151</t>
  </si>
  <si>
    <t>0101M</t>
  </si>
  <si>
    <t>HALTER GLITTER CREPE</t>
  </si>
  <si>
    <t>192096514506</t>
  </si>
  <si>
    <t>HN488055</t>
  </si>
  <si>
    <t>HALTER GILTER SLINKNY</t>
  </si>
  <si>
    <t>661414655967</t>
  </si>
  <si>
    <t>D76106DB43</t>
  </si>
  <si>
    <t>HALTER FLORAL SCUBA</t>
  </si>
  <si>
    <t>747941734938</t>
  </si>
  <si>
    <t>20</t>
  </si>
  <si>
    <t>AP1E205432</t>
  </si>
  <si>
    <t>HALFTER METALLIC JERSEY</t>
  </si>
  <si>
    <t>652933026048</t>
  </si>
  <si>
    <t>DD9H1671</t>
  </si>
  <si>
    <t>HALF ZIP FIT &amp; FLARE WIT</t>
  </si>
  <si>
    <t>795733120919</t>
  </si>
  <si>
    <t>CD8C1A00</t>
  </si>
  <si>
    <t>GUNMETAL 1A00</t>
  </si>
  <si>
    <t>191797234034</t>
  </si>
  <si>
    <t>GROMET POCKET DRESS</t>
  </si>
  <si>
    <t>192114890636</t>
  </si>
  <si>
    <t>651481559299</t>
  </si>
  <si>
    <t>12089B</t>
  </si>
  <si>
    <t>GLITTER LACE TOP</t>
  </si>
  <si>
    <t>707762215528</t>
  </si>
  <si>
    <t>NYLON/POLYESTER/SPANDEX; SEQUINS: POLYESTER</t>
  </si>
  <si>
    <t>VKE00185P1</t>
  </si>
  <si>
    <t>GLITTER CONTRAST LACE</t>
  </si>
  <si>
    <t>888815649566</t>
  </si>
  <si>
    <t>650868870484</t>
  </si>
  <si>
    <t>91013210I</t>
  </si>
  <si>
    <t>FRINGE LS JUMPSUIT</t>
  </si>
  <si>
    <t>192081239520</t>
  </si>
  <si>
    <t>XL PETITE</t>
  </si>
  <si>
    <t>192081239544</t>
  </si>
  <si>
    <t>FRANNY</t>
  </si>
  <si>
    <t>884094536146</t>
  </si>
  <si>
    <t>635273665641</t>
  </si>
  <si>
    <t>635273665627</t>
  </si>
  <si>
    <t>FLUTTER SLEEVE SHORT DRE</t>
  </si>
  <si>
    <t>794795105063</t>
  </si>
  <si>
    <t>652933490252</t>
  </si>
  <si>
    <t>AP1E205106</t>
  </si>
  <si>
    <t>FLOUNCE CREPE DRESS BASIC</t>
  </si>
  <si>
    <t>652933563277</t>
  </si>
  <si>
    <t>CT9CM3C5</t>
  </si>
  <si>
    <t>FLORAL STARBURT</t>
  </si>
  <si>
    <t>193623497309</t>
  </si>
  <si>
    <t>RB62934W</t>
  </si>
  <si>
    <t>FLORAL PRINT W BELT MIDI</t>
  </si>
  <si>
    <t>889648466818</t>
  </si>
  <si>
    <t>650868873256</t>
  </si>
  <si>
    <t>SHELL: POLYESTER/SPANDEX; TRIM, LINING: POLYESTER</t>
  </si>
  <si>
    <t>93996222I</t>
  </si>
  <si>
    <t>FEATHER TRIM DRESS</t>
  </si>
  <si>
    <t>192081241530</t>
  </si>
  <si>
    <t>708008598351</t>
  </si>
  <si>
    <t>CX9C57NT</t>
  </si>
  <si>
    <t>F&amp;F W EMBROIDERY</t>
  </si>
  <si>
    <t>194414970421</t>
  </si>
  <si>
    <t>POLYESTER/SPANDEX/METALLIC</t>
  </si>
  <si>
    <t>B8JD685</t>
  </si>
  <si>
    <t>F&amp;F VELVET HALTER</t>
  </si>
  <si>
    <t>192284765697</t>
  </si>
  <si>
    <t>192284765659</t>
  </si>
  <si>
    <t>SHELL, LINING &amp; POPOVER: POLYESTER</t>
  </si>
  <si>
    <t>TJC80628M1</t>
  </si>
  <si>
    <t>EMBRD POPOVER</t>
  </si>
  <si>
    <t>888815858753</t>
  </si>
  <si>
    <t>CT9VA3V2</t>
  </si>
  <si>
    <t>EMB VELVET S/S T BODAY</t>
  </si>
  <si>
    <t>193623450366</t>
  </si>
  <si>
    <t>VAD90074M1</t>
  </si>
  <si>
    <t>ELB SLV SDE TUCK DRS</t>
  </si>
  <si>
    <t>888815512655</t>
  </si>
  <si>
    <t>RD18F409A</t>
  </si>
  <si>
    <t>DRAPED NECK MIDI</t>
  </si>
  <si>
    <t>889177383457</t>
  </si>
  <si>
    <t>AP1E205553</t>
  </si>
  <si>
    <t>DRAPED JERSEY GOWN</t>
  </si>
  <si>
    <t>652933281294</t>
  </si>
  <si>
    <t>193623321987</t>
  </si>
  <si>
    <t>CD9B1J67</t>
  </si>
  <si>
    <t>DOT HALTER LONG</t>
  </si>
  <si>
    <t>193623435974</t>
  </si>
  <si>
    <t>193623436032</t>
  </si>
  <si>
    <t>884094418947</t>
  </si>
  <si>
    <t>CD9E21Y4</t>
  </si>
  <si>
    <t>DITSY S/S SHIRTDRESS</t>
  </si>
  <si>
    <t>193623830601</t>
  </si>
  <si>
    <t>POLYESTER/ELASTANE; SEQUINS: POLYETHYLENE TEREPHTHALATE; LINING: POLYESTER/ELASTANE</t>
  </si>
  <si>
    <t>54833PB</t>
  </si>
  <si>
    <t>DITA SEQUIN JUMPSUIT</t>
  </si>
  <si>
    <t>9351221911844</t>
  </si>
  <si>
    <t>889177505613</t>
  </si>
  <si>
    <t>661414655882</t>
  </si>
  <si>
    <t>661414655899</t>
  </si>
  <si>
    <t>D253</t>
  </si>
  <si>
    <t>D966FBBLACK-M2614</t>
  </si>
  <si>
    <t>889020133062</t>
  </si>
  <si>
    <t>14 AVG</t>
  </si>
  <si>
    <t>D1044</t>
  </si>
  <si>
    <t>D1045PGCREAMPINK-H22</t>
  </si>
  <si>
    <t>5054756217293</t>
  </si>
  <si>
    <t>D66959DA78</t>
  </si>
  <si>
    <t>CUTWY XBK ASSYM LAYE</t>
  </si>
  <si>
    <t>747941763198</t>
  </si>
  <si>
    <t>DD9I1920</t>
  </si>
  <si>
    <t>CURVE SEAM MESH COMBO FI</t>
  </si>
  <si>
    <t>795733024187</t>
  </si>
  <si>
    <t>652933541251</t>
  </si>
  <si>
    <t>652933573337</t>
  </si>
  <si>
    <t>724432810937</t>
  </si>
  <si>
    <t>724432810913</t>
  </si>
  <si>
    <t>AP1E206591</t>
  </si>
  <si>
    <t>CREWNECK LONG DRS</t>
  </si>
  <si>
    <t>652933489331</t>
  </si>
  <si>
    <t>192114003715</t>
  </si>
  <si>
    <t>192114123949</t>
  </si>
  <si>
    <t>192114002640</t>
  </si>
  <si>
    <t>192114123482</t>
  </si>
  <si>
    <t>192114114121</t>
  </si>
  <si>
    <t>POLYESTER/COTTON</t>
  </si>
  <si>
    <t>RB61757AP</t>
  </si>
  <si>
    <t>COWL NECK SWEATER</t>
  </si>
  <si>
    <t>889648461752</t>
  </si>
  <si>
    <t>794795115949</t>
  </si>
  <si>
    <t>DD9HL914</t>
  </si>
  <si>
    <t>COWL NECK JUMPSUIT WITH</t>
  </si>
  <si>
    <t>795733122883</t>
  </si>
  <si>
    <t>652933605373</t>
  </si>
  <si>
    <t>COREEN</t>
  </si>
  <si>
    <t>883806094790</t>
  </si>
  <si>
    <t>NYLON/POLYESTER; MESH SLEEVES: POLYESTER/SPANDEX; LINING &amp; SEQUINS: POLYESTER</t>
  </si>
  <si>
    <t>CD9B37XW</t>
  </si>
  <si>
    <t>COPP WM POLY DRESS CCU</t>
  </si>
  <si>
    <t>193623462413</t>
  </si>
  <si>
    <t>884094248032</t>
  </si>
  <si>
    <t>RAYON/POLYESTER/NYLON/SPANDEX</t>
  </si>
  <si>
    <t>DD9ID764</t>
  </si>
  <si>
    <t>COLORBLOCK SHIFT WITH FL</t>
  </si>
  <si>
    <t>795733019886</t>
  </si>
  <si>
    <t>TJT11628I</t>
  </si>
  <si>
    <t>COLORBLOCK SCUBA HALTER</t>
  </si>
  <si>
    <t>889631121069</t>
  </si>
  <si>
    <t>689886464740</t>
  </si>
  <si>
    <t>CT9C1A13</t>
  </si>
  <si>
    <t>COLOR BLOCK SHEATH</t>
  </si>
  <si>
    <t>193623497941</t>
  </si>
  <si>
    <t>652874130347</t>
  </si>
  <si>
    <t>TLMF9WE865</t>
  </si>
  <si>
    <t>CHIFFON MAXI PRNTD DRESS</t>
  </si>
  <si>
    <t>635273666532</t>
  </si>
  <si>
    <t>635273666587</t>
  </si>
  <si>
    <t>193623399542</t>
  </si>
  <si>
    <t>193623399566</t>
  </si>
  <si>
    <t>CHIFF TULIP TIER BAR</t>
  </si>
  <si>
    <t>794795048537</t>
  </si>
  <si>
    <t>CHICKY 3/4</t>
  </si>
  <si>
    <t>883806455034</t>
  </si>
  <si>
    <t>5758W</t>
  </si>
  <si>
    <t>CHEVRON ITY J DRESS</t>
  </si>
  <si>
    <t>707762230699</t>
  </si>
  <si>
    <t>ALL COTTON</t>
  </si>
  <si>
    <t>BRGHT YELL</t>
  </si>
  <si>
    <t>CARROT DRESS</t>
  </si>
  <si>
    <t>93487488478</t>
  </si>
  <si>
    <t>SHELL/LINING: POLYESTER/ELASTANE</t>
  </si>
  <si>
    <t>CARLYN</t>
  </si>
  <si>
    <t>885032147776</t>
  </si>
  <si>
    <t>SHELL: POLYESTER/ ELASTANE; LACE BODICE: NYLON/ ELASTANE; LINING: POLYESTER/ ELASTANE</t>
  </si>
  <si>
    <t>CARDONA</t>
  </si>
  <si>
    <t>884094248179</t>
  </si>
  <si>
    <t>884094248124</t>
  </si>
  <si>
    <t>884094248148</t>
  </si>
  <si>
    <t>AP1D103782</t>
  </si>
  <si>
    <t>CAPE PLACEHOLDER JUMPSUI</t>
  </si>
  <si>
    <t>652933564533</t>
  </si>
  <si>
    <t>POLYESTER/NYLON/SPANDEX; LINING: POLYESTER/SPANDEX</t>
  </si>
  <si>
    <t>A9FK1JEC</t>
  </si>
  <si>
    <t>CAP SLV VELVET BRNOUT MI</t>
  </si>
  <si>
    <t>192114074876</t>
  </si>
  <si>
    <t>4XGR472</t>
  </si>
  <si>
    <t>CAP SLV RUFFLE HEM F&amp;F</t>
  </si>
  <si>
    <t>791841033370</t>
  </si>
  <si>
    <t>DUH4318</t>
  </si>
  <si>
    <t>CAP SLEEVE SEQUIN DRESS</t>
  </si>
  <si>
    <t>887840380352</t>
  </si>
  <si>
    <t>191837192874</t>
  </si>
  <si>
    <t>194414967339</t>
  </si>
  <si>
    <t>A21207</t>
  </si>
  <si>
    <t>BURG SHT SCB CREP DRAPE B</t>
  </si>
  <si>
    <t>749709581730</t>
  </si>
  <si>
    <t>192673211378</t>
  </si>
  <si>
    <t>192673211354</t>
  </si>
  <si>
    <t>708008594353</t>
  </si>
  <si>
    <t>708008594360</t>
  </si>
  <si>
    <t>192114274634</t>
  </si>
  <si>
    <t>192114274665</t>
  </si>
  <si>
    <t>192114274658</t>
  </si>
  <si>
    <t>192114680763</t>
  </si>
  <si>
    <t>194414970209</t>
  </si>
  <si>
    <t>CD9V19TL</t>
  </si>
  <si>
    <t>BLING ON SLEEVE</t>
  </si>
  <si>
    <t>193623479206</t>
  </si>
  <si>
    <t>191797631789</t>
  </si>
  <si>
    <t>BEBE TSHIRT DRESS</t>
  </si>
  <si>
    <t>192096507461</t>
  </si>
  <si>
    <t>AP1E204534</t>
  </si>
  <si>
    <t>BEADED SLIP DRESS</t>
  </si>
  <si>
    <t>191937742153</t>
  </si>
  <si>
    <t>AP1E207035</t>
  </si>
  <si>
    <t>BEADED SHORT SLEEVE GOWN</t>
  </si>
  <si>
    <t>652933641852</t>
  </si>
  <si>
    <t>652933641869</t>
  </si>
  <si>
    <t>652933497275</t>
  </si>
  <si>
    <t>652933497268</t>
  </si>
  <si>
    <t>652933596091</t>
  </si>
  <si>
    <t>AP1E205908</t>
  </si>
  <si>
    <t>BEADED LONG DRESS</t>
  </si>
  <si>
    <t>652933426480</t>
  </si>
  <si>
    <t>652933426497</t>
  </si>
  <si>
    <t>SHELL, LINING: POLYESTER; SKIRT OVERLAY: POLYESTER/ELASTANE</t>
  </si>
  <si>
    <t>AP1E206754</t>
  </si>
  <si>
    <t>BEADED JUMPSUIT</t>
  </si>
  <si>
    <t>652933531818</t>
  </si>
  <si>
    <t>652933577939</t>
  </si>
  <si>
    <t>AP1E206173</t>
  </si>
  <si>
    <t>BEADED COCKTAIL DRESS BASIC</t>
  </si>
  <si>
    <t>652933359139</t>
  </si>
  <si>
    <t>AP1E206208</t>
  </si>
  <si>
    <t>BEADED CAPELET GOWN</t>
  </si>
  <si>
    <t>652933474528</t>
  </si>
  <si>
    <t>652933618557</t>
  </si>
  <si>
    <t>AP1E206530</t>
  </si>
  <si>
    <t>BEAD BLOUSON DRESS</t>
  </si>
  <si>
    <t>652933431057</t>
  </si>
  <si>
    <t>AP1E206477</t>
  </si>
  <si>
    <t>BEAD ASYMMETRICAL DRESS BASIC</t>
  </si>
  <si>
    <t>652933404112</t>
  </si>
  <si>
    <t>193623457853</t>
  </si>
  <si>
    <t>689886620139</t>
  </si>
  <si>
    <t>TT198012</t>
  </si>
  <si>
    <t>AVEBURY</t>
  </si>
  <si>
    <t>191855315217</t>
  </si>
  <si>
    <t>191855315163</t>
  </si>
  <si>
    <t>AUBE WM POLY SHRUG CJ8</t>
  </si>
  <si>
    <t>193623399634</t>
  </si>
  <si>
    <t>POLYESTER/SPANDEX; BUST LINING: POLYESTER</t>
  </si>
  <si>
    <t>6707US1C</t>
  </si>
  <si>
    <t>ASYMETRICAL TANK SLIM</t>
  </si>
  <si>
    <t>193596430266</t>
  </si>
  <si>
    <t>193596430259</t>
  </si>
  <si>
    <t>193596430303</t>
  </si>
  <si>
    <t>CD9M253F</t>
  </si>
  <si>
    <t>ASYM FOLD OVER ANIMAL TR</t>
  </si>
  <si>
    <t>193623479930</t>
  </si>
  <si>
    <t>193623321253</t>
  </si>
  <si>
    <t>193623479879</t>
  </si>
  <si>
    <t>CT9V4E48</t>
  </si>
  <si>
    <t>ANIMAL BURNOUT VELVET WR</t>
  </si>
  <si>
    <t>193623450519</t>
  </si>
  <si>
    <t>884094495245</t>
  </si>
  <si>
    <t>ALODIE</t>
  </si>
  <si>
    <t>884094540341</t>
  </si>
  <si>
    <t>CD9B3H98</t>
  </si>
  <si>
    <t>ALL ROUCHED CATERPILLAR</t>
  </si>
  <si>
    <t>193623444860</t>
  </si>
  <si>
    <t>193623444853</t>
  </si>
  <si>
    <t>689886494600</t>
  </si>
  <si>
    <t>650868162718</t>
  </si>
  <si>
    <t>661414655769</t>
  </si>
  <si>
    <t>661414655806</t>
  </si>
  <si>
    <t>884094494941</t>
  </si>
  <si>
    <t>53994DB</t>
  </si>
  <si>
    <t>ALBERTA LACE DRESS</t>
  </si>
  <si>
    <t>9351221831777</t>
  </si>
  <si>
    <t>HN3156</t>
  </si>
  <si>
    <t>ABSTRACT FLEUR JACQ MIDI</t>
  </si>
  <si>
    <t>192374297145</t>
  </si>
  <si>
    <t>192374297121</t>
  </si>
  <si>
    <t>192374297152</t>
  </si>
  <si>
    <t>192374297138</t>
  </si>
  <si>
    <t>794795103915</t>
  </si>
  <si>
    <t>192114004606</t>
  </si>
  <si>
    <t>192114003883</t>
  </si>
  <si>
    <t>192114003920</t>
  </si>
  <si>
    <t>NYLON/SPANDEX</t>
  </si>
  <si>
    <t>884002922443</t>
  </si>
  <si>
    <t>884002922436</t>
  </si>
  <si>
    <t>884002922450</t>
  </si>
  <si>
    <t>ACETATE/SPANDEX</t>
  </si>
  <si>
    <t>3/4 SLEEVE PRINTED COWL</t>
  </si>
  <si>
    <t>884002916152</t>
  </si>
  <si>
    <t>884002916169</t>
  </si>
  <si>
    <t>884002914585</t>
  </si>
  <si>
    <t>DD9H1662</t>
  </si>
  <si>
    <t>3/4 SLEEVE FIT &amp; FLARE W</t>
  </si>
  <si>
    <t>795733123125</t>
  </si>
  <si>
    <t>CX9C1G23</t>
  </si>
  <si>
    <t>3/4 SL NEW V NECK SHEATH</t>
  </si>
  <si>
    <t>193623472320</t>
  </si>
  <si>
    <t>193623853525</t>
  </si>
  <si>
    <t>SHELL: NYLON ;LINING: POLYESTER</t>
  </si>
  <si>
    <t>JH8M3622</t>
  </si>
  <si>
    <t>3 4 SLV SIDE TUCKJH8</t>
  </si>
  <si>
    <t>689886486865</t>
  </si>
  <si>
    <t>JH9W6343</t>
  </si>
  <si>
    <t>3 4 SLV SEPARATE JH9</t>
  </si>
  <si>
    <t>689886500790</t>
  </si>
  <si>
    <t>JH9M8644</t>
  </si>
  <si>
    <t>3 4 SLV GWN W/ HEJH9</t>
  </si>
  <si>
    <t>689886596144</t>
  </si>
  <si>
    <t>JACKET SHELL: POLYESTER/NYLON; JACKET LINING: ALL POLYESTER; DRESS SHELL: POLYESTER/SPANDEX; DRESS LINING: ALL POLYESTER</t>
  </si>
  <si>
    <t>JH8W0105</t>
  </si>
  <si>
    <t>2PC 3 4 SLV SWINGJH8</t>
  </si>
  <si>
    <t>689886547047</t>
  </si>
  <si>
    <t>689886547054</t>
  </si>
  <si>
    <t>708008599921</t>
  </si>
  <si>
    <t>708008599969</t>
  </si>
  <si>
    <t>RUSTCOPPER</t>
  </si>
  <si>
    <t>RB61887P</t>
  </si>
  <si>
    <t>1PC SLVLESS DRESS</t>
  </si>
  <si>
    <t>889648468959</t>
  </si>
  <si>
    <t>JH9P5459</t>
  </si>
  <si>
    <t>1PC LSLV SHIFT DRJ40</t>
  </si>
  <si>
    <t>689886633993</t>
  </si>
  <si>
    <t>2803X</t>
  </si>
  <si>
    <t>1 SHLDR ASYM BOTTOM</t>
  </si>
  <si>
    <t>191837167186</t>
  </si>
  <si>
    <t>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</si>
</sst>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color rgb="FF0000FF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" fontId="19" fillId="0" borderId="10" xfId="0" applyNumberFormat="1" applyFont="1" applyBorder="1" applyAlignment="1">
      <alignment horizontal="center" vertical="center" wrapText="1"/>
    </xf>
    <xf numFmtId="164" fontId="19" fillId="0" borderId="10" xfId="0" applyNumberFormat="1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64" fontId="21" fillId="33" borderId="0" xfId="0" applyNumberFormat="1" applyFont="1" applyFill="1" applyAlignment="1">
      <alignment horizontal="center" vertical="center" wrapText="1"/>
    </xf>
    <xf numFmtId="164" fontId="21" fillId="33" borderId="0" xfId="0" applyNumberFormat="1" applyFont="1" applyFill="1" applyAlignment="1">
      <alignment horizontal="right" vertical="center"/>
    </xf>
    <xf numFmtId="1" fontId="18" fillId="0" borderId="10" xfId="0" applyNumberFormat="1" applyFont="1" applyBorder="1" applyAlignment="1">
      <alignment horizontal="center" vertical="center" wrapText="1"/>
    </xf>
    <xf numFmtId="1" fontId="21" fillId="33" borderId="0" xfId="0" applyNumberFormat="1" applyFont="1" applyFill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L687"/>
  <sheetViews>
    <sheetView tabSelected="1" workbookViewId="0">
      <selection activeCell="M5" sqref="M5"/>
    </sheetView>
  </sheetViews>
  <sheetFormatPr defaultRowHeight="15" x14ac:dyDescent="0.25"/>
  <cols>
    <col min="1" max="1" width="14.140625" style="2" bestFit="1" customWidth="1"/>
    <col min="2" max="2" width="24.5703125" style="2" customWidth="1"/>
    <col min="3" max="3" width="12.42578125" style="2" bestFit="1" customWidth="1"/>
    <col min="4" max="4" width="8.7109375" style="2" bestFit="1" customWidth="1"/>
    <col min="5" max="5" width="15" style="2" customWidth="1"/>
    <col min="6" max="6" width="14.42578125" style="2" bestFit="1" customWidth="1"/>
    <col min="7" max="7" width="10.28515625" style="2" customWidth="1"/>
    <col min="8" max="8" width="11" style="2" bestFit="1" customWidth="1"/>
    <col min="9" max="9" width="12.5703125" style="2" customWidth="1"/>
    <col min="10" max="11" width="11.42578125" style="2" customWidth="1"/>
    <col min="12" max="12" width="12.140625" style="2" customWidth="1"/>
    <col min="13" max="13" width="36.5703125" style="2" bestFit="1" customWidth="1"/>
    <col min="14" max="15" width="20.7109375" style="2" customWidth="1"/>
    <col min="16" max="16" width="64.28515625" style="2" customWidth="1"/>
    <col min="17" max="16384" width="9.140625" style="2"/>
  </cols>
  <sheetData>
    <row r="2" spans="1:12" ht="36" x14ac:dyDescent="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16" t="s">
        <v>9</v>
      </c>
    </row>
    <row r="3" spans="1:12" ht="24" x14ac:dyDescent="0.25">
      <c r="A3" s="7" t="s">
        <v>1813</v>
      </c>
      <c r="B3" s="14">
        <v>12775109</v>
      </c>
      <c r="C3" s="7" t="s">
        <v>10</v>
      </c>
      <c r="D3" s="7" t="s">
        <v>11</v>
      </c>
      <c r="E3" s="8">
        <v>1</v>
      </c>
      <c r="F3" s="8">
        <v>1</v>
      </c>
      <c r="G3" s="7">
        <v>774</v>
      </c>
      <c r="H3" s="9">
        <v>37669.629999999997</v>
      </c>
      <c r="I3" s="9">
        <v>99092.37</v>
      </c>
      <c r="J3" s="7">
        <v>756</v>
      </c>
    </row>
    <row r="4" spans="1:12" x14ac:dyDescent="0.25">
      <c r="A4" s="3"/>
      <c r="B4" s="4"/>
      <c r="C4" s="4"/>
      <c r="D4" s="3"/>
      <c r="E4" s="3"/>
      <c r="F4" s="3"/>
      <c r="G4" s="4"/>
      <c r="H4" s="15"/>
      <c r="I4" s="12"/>
      <c r="J4" s="13"/>
      <c r="K4" s="5"/>
      <c r="L4" s="5"/>
    </row>
    <row r="6" spans="1:12" x14ac:dyDescent="0.25">
      <c r="A6" s="1"/>
      <c r="B6" s="1"/>
      <c r="C6" s="1"/>
      <c r="D6" s="1"/>
    </row>
    <row r="7" spans="1:12" x14ac:dyDescent="0.25">
      <c r="A7" s="6"/>
      <c r="B7" s="3"/>
      <c r="C7" s="5"/>
      <c r="D7" s="5"/>
    </row>
    <row r="9" spans="1:12" ht="24" x14ac:dyDescent="0.25">
      <c r="A9" s="16" t="s">
        <v>14</v>
      </c>
      <c r="B9" s="16" t="s">
        <v>15</v>
      </c>
      <c r="C9" s="16" t="s">
        <v>16</v>
      </c>
      <c r="D9" s="16" t="s">
        <v>13</v>
      </c>
      <c r="E9" s="16" t="s">
        <v>17</v>
      </c>
      <c r="F9" s="16" t="s">
        <v>18</v>
      </c>
      <c r="G9" s="16" t="s">
        <v>19</v>
      </c>
      <c r="H9" s="16" t="s">
        <v>20</v>
      </c>
      <c r="I9" s="16" t="s">
        <v>12</v>
      </c>
      <c r="J9" s="16" t="s">
        <v>21</v>
      </c>
      <c r="K9" s="16" t="s">
        <v>22</v>
      </c>
      <c r="L9" s="16" t="s">
        <v>23</v>
      </c>
    </row>
    <row r="10" spans="1:12" ht="48" x14ac:dyDescent="0.25">
      <c r="A10" s="10" t="s">
        <v>1812</v>
      </c>
      <c r="B10" s="7" t="s">
        <v>1811</v>
      </c>
      <c r="C10" s="8">
        <v>1</v>
      </c>
      <c r="D10" s="9">
        <v>69.75</v>
      </c>
      <c r="E10" s="9">
        <v>179</v>
      </c>
      <c r="F10" s="8" t="s">
        <v>1810</v>
      </c>
      <c r="G10" s="7" t="s">
        <v>27</v>
      </c>
      <c r="H10" s="10" t="s">
        <v>28</v>
      </c>
      <c r="I10" s="9">
        <v>20.925000000000001</v>
      </c>
      <c r="J10" s="7" t="s">
        <v>43</v>
      </c>
      <c r="K10" s="7" t="s">
        <v>61</v>
      </c>
      <c r="L10" s="11" t="str">
        <f>HYPERLINK("http://slimages.macys.com/is/image/MCY/15197392 ")</f>
        <v xml:space="preserve">http://slimages.macys.com/is/image/MCY/15197392 </v>
      </c>
    </row>
    <row r="11" spans="1:12" ht="48" x14ac:dyDescent="0.25">
      <c r="A11" s="10" t="s">
        <v>1809</v>
      </c>
      <c r="B11" s="7" t="s">
        <v>1808</v>
      </c>
      <c r="C11" s="8">
        <v>2</v>
      </c>
      <c r="D11" s="9">
        <v>35.6</v>
      </c>
      <c r="E11" s="9">
        <v>89</v>
      </c>
      <c r="F11" s="8" t="s">
        <v>1807</v>
      </c>
      <c r="G11" s="7" t="s">
        <v>60</v>
      </c>
      <c r="H11" s="10" t="s">
        <v>68</v>
      </c>
      <c r="I11" s="9">
        <v>10.68</v>
      </c>
      <c r="J11" s="7" t="s">
        <v>134</v>
      </c>
      <c r="K11" s="7" t="s">
        <v>64</v>
      </c>
      <c r="L11" s="11" t="str">
        <f>HYPERLINK("http://slimages.macys.com/is/image/MCY/14603533 ")</f>
        <v xml:space="preserve">http://slimages.macys.com/is/image/MCY/14603533 </v>
      </c>
    </row>
    <row r="12" spans="1:12" ht="48" x14ac:dyDescent="0.25">
      <c r="A12" s="10" t="s">
        <v>1806</v>
      </c>
      <c r="B12" s="7" t="s">
        <v>1805</v>
      </c>
      <c r="C12" s="8">
        <v>1</v>
      </c>
      <c r="D12" s="9">
        <v>27</v>
      </c>
      <c r="E12" s="9">
        <v>79</v>
      </c>
      <c r="F12" s="8" t="s">
        <v>1804</v>
      </c>
      <c r="G12" s="7" t="s">
        <v>1803</v>
      </c>
      <c r="H12" s="10" t="s">
        <v>288</v>
      </c>
      <c r="I12" s="9">
        <v>8.1</v>
      </c>
      <c r="J12" s="7" t="s">
        <v>134</v>
      </c>
      <c r="K12" s="7" t="s">
        <v>52</v>
      </c>
      <c r="L12" s="11" t="str">
        <f>HYPERLINK("http://slimages.macys.com/is/image/MCY/10685029 ")</f>
        <v xml:space="preserve">http://slimages.macys.com/is/image/MCY/10685029 </v>
      </c>
    </row>
    <row r="13" spans="1:12" ht="72" x14ac:dyDescent="0.25">
      <c r="A13" s="10" t="s">
        <v>1802</v>
      </c>
      <c r="B13" s="7" t="s">
        <v>449</v>
      </c>
      <c r="C13" s="8">
        <v>1</v>
      </c>
      <c r="D13" s="9">
        <v>29.5</v>
      </c>
      <c r="E13" s="9">
        <v>89</v>
      </c>
      <c r="F13" s="8" t="s">
        <v>450</v>
      </c>
      <c r="G13" s="7" t="s">
        <v>119</v>
      </c>
      <c r="H13" s="10" t="s">
        <v>454</v>
      </c>
      <c r="I13" s="9">
        <v>8.85</v>
      </c>
      <c r="J13" s="7" t="s">
        <v>382</v>
      </c>
      <c r="K13" s="7" t="s">
        <v>451</v>
      </c>
      <c r="L13" s="11" t="str">
        <f>HYPERLINK("http://slimages.macys.com/is/image/MCY/15368828 ")</f>
        <v xml:space="preserve">http://slimages.macys.com/is/image/MCY/15368828 </v>
      </c>
    </row>
    <row r="14" spans="1:12" ht="72" x14ac:dyDescent="0.25">
      <c r="A14" s="10" t="s">
        <v>1801</v>
      </c>
      <c r="B14" s="7" t="s">
        <v>449</v>
      </c>
      <c r="C14" s="8">
        <v>1</v>
      </c>
      <c r="D14" s="9">
        <v>29.5</v>
      </c>
      <c r="E14" s="9">
        <v>89</v>
      </c>
      <c r="F14" s="8" t="s">
        <v>450</v>
      </c>
      <c r="G14" s="7" t="s">
        <v>119</v>
      </c>
      <c r="H14" s="10" t="s">
        <v>405</v>
      </c>
      <c r="I14" s="9">
        <v>8.85</v>
      </c>
      <c r="J14" s="7" t="s">
        <v>382</v>
      </c>
      <c r="K14" s="7" t="s">
        <v>451</v>
      </c>
      <c r="L14" s="11" t="str">
        <f>HYPERLINK("http://slimages.macys.com/is/image/MCY/15368828 ")</f>
        <v xml:space="preserve">http://slimages.macys.com/is/image/MCY/15368828 </v>
      </c>
    </row>
    <row r="15" spans="1:12" ht="168" x14ac:dyDescent="0.25">
      <c r="A15" s="10" t="s">
        <v>1800</v>
      </c>
      <c r="B15" s="7" t="s">
        <v>1798</v>
      </c>
      <c r="C15" s="8">
        <v>1</v>
      </c>
      <c r="D15" s="9">
        <v>47.6</v>
      </c>
      <c r="E15" s="9">
        <v>119</v>
      </c>
      <c r="F15" s="8" t="s">
        <v>1797</v>
      </c>
      <c r="G15" s="7" t="s">
        <v>246</v>
      </c>
      <c r="H15" s="10" t="s">
        <v>236</v>
      </c>
      <c r="I15" s="9">
        <v>14.28</v>
      </c>
      <c r="J15" s="7" t="s">
        <v>187</v>
      </c>
      <c r="K15" s="7" t="s">
        <v>1796</v>
      </c>
      <c r="L15" s="11" t="str">
        <f>HYPERLINK("http://slimages.macys.com/is/image/MCY/10327467 ")</f>
        <v xml:space="preserve">http://slimages.macys.com/is/image/MCY/10327467 </v>
      </c>
    </row>
    <row r="16" spans="1:12" ht="168" x14ac:dyDescent="0.25">
      <c r="A16" s="10" t="s">
        <v>1799</v>
      </c>
      <c r="B16" s="7" t="s">
        <v>1798</v>
      </c>
      <c r="C16" s="8">
        <v>1</v>
      </c>
      <c r="D16" s="9">
        <v>47.6</v>
      </c>
      <c r="E16" s="9">
        <v>119</v>
      </c>
      <c r="F16" s="8" t="s">
        <v>1797</v>
      </c>
      <c r="G16" s="7" t="s">
        <v>246</v>
      </c>
      <c r="H16" s="10" t="s">
        <v>186</v>
      </c>
      <c r="I16" s="9">
        <v>14.28</v>
      </c>
      <c r="J16" s="7" t="s">
        <v>187</v>
      </c>
      <c r="K16" s="7" t="s">
        <v>1796</v>
      </c>
      <c r="L16" s="11" t="str">
        <f>HYPERLINK("http://slimages.macys.com/is/image/MCY/10327467 ")</f>
        <v xml:space="preserve">http://slimages.macys.com/is/image/MCY/10327467 </v>
      </c>
    </row>
    <row r="17" spans="1:12" ht="48" x14ac:dyDescent="0.25">
      <c r="A17" s="10" t="s">
        <v>1795</v>
      </c>
      <c r="B17" s="7" t="s">
        <v>1794</v>
      </c>
      <c r="C17" s="8">
        <v>1</v>
      </c>
      <c r="D17" s="9">
        <v>62</v>
      </c>
      <c r="E17" s="9">
        <v>159</v>
      </c>
      <c r="F17" s="8" t="s">
        <v>1793</v>
      </c>
      <c r="G17" s="7" t="s">
        <v>45</v>
      </c>
      <c r="H17" s="10" t="s">
        <v>28</v>
      </c>
      <c r="I17" s="9">
        <v>18.600000000000001</v>
      </c>
      <c r="J17" s="7" t="s">
        <v>54</v>
      </c>
      <c r="K17" s="7" t="s">
        <v>61</v>
      </c>
      <c r="L17" s="11" t="str">
        <f>HYPERLINK("http://slimages.macys.com/is/image/MCY/14725299 ")</f>
        <v xml:space="preserve">http://slimages.macys.com/is/image/MCY/14725299 </v>
      </c>
    </row>
    <row r="18" spans="1:12" ht="84" x14ac:dyDescent="0.25">
      <c r="A18" s="10" t="s">
        <v>399</v>
      </c>
      <c r="B18" s="7" t="s">
        <v>396</v>
      </c>
      <c r="C18" s="8">
        <v>1</v>
      </c>
      <c r="D18" s="9">
        <v>37.6</v>
      </c>
      <c r="E18" s="9">
        <v>99</v>
      </c>
      <c r="F18" s="8" t="s">
        <v>397</v>
      </c>
      <c r="G18" s="7" t="s">
        <v>37</v>
      </c>
      <c r="H18" s="10" t="s">
        <v>35</v>
      </c>
      <c r="I18" s="9">
        <v>11.28</v>
      </c>
      <c r="J18" s="7" t="s">
        <v>182</v>
      </c>
      <c r="K18" s="7" t="s">
        <v>398</v>
      </c>
      <c r="L18" s="11" t="str">
        <f>HYPERLINK("http://slimages.macys.com/is/image/MCY/15161703 ")</f>
        <v xml:space="preserve">http://slimages.macys.com/is/image/MCY/15161703 </v>
      </c>
    </row>
    <row r="19" spans="1:12" ht="72" x14ac:dyDescent="0.25">
      <c r="A19" s="10" t="s">
        <v>1792</v>
      </c>
      <c r="B19" s="7" t="s">
        <v>1791</v>
      </c>
      <c r="C19" s="8">
        <v>1</v>
      </c>
      <c r="D19" s="9">
        <v>31.6</v>
      </c>
      <c r="E19" s="9">
        <v>79</v>
      </c>
      <c r="F19" s="8" t="s">
        <v>1790</v>
      </c>
      <c r="G19" s="7" t="s">
        <v>27</v>
      </c>
      <c r="H19" s="10" t="s">
        <v>406</v>
      </c>
      <c r="I19" s="9">
        <v>9.48</v>
      </c>
      <c r="J19" s="7" t="s">
        <v>65</v>
      </c>
      <c r="K19" s="7" t="s">
        <v>1535</v>
      </c>
      <c r="L19" s="11" t="str">
        <f>HYPERLINK("http://slimages.macys.com/is/image/MCY/15298545 ")</f>
        <v xml:space="preserve">http://slimages.macys.com/is/image/MCY/15298545 </v>
      </c>
    </row>
    <row r="20" spans="1:12" ht="48" x14ac:dyDescent="0.25">
      <c r="A20" s="10" t="s">
        <v>1789</v>
      </c>
      <c r="B20" s="7" t="s">
        <v>1788</v>
      </c>
      <c r="C20" s="8">
        <v>1</v>
      </c>
      <c r="D20" s="9">
        <v>43.6</v>
      </c>
      <c r="E20" s="9">
        <v>109</v>
      </c>
      <c r="F20" s="8" t="s">
        <v>1787</v>
      </c>
      <c r="G20" s="7" t="s">
        <v>63</v>
      </c>
      <c r="H20" s="10" t="s">
        <v>53</v>
      </c>
      <c r="I20" s="9">
        <v>13.08</v>
      </c>
      <c r="J20" s="7" t="s">
        <v>54</v>
      </c>
      <c r="K20" s="7" t="s">
        <v>1786</v>
      </c>
      <c r="L20" s="11" t="str">
        <f>HYPERLINK("http://slimages.macys.com/is/image/MCY/15173661 ")</f>
        <v xml:space="preserve">http://slimages.macys.com/is/image/MCY/15173661 </v>
      </c>
    </row>
    <row r="21" spans="1:12" ht="48" x14ac:dyDescent="0.25">
      <c r="A21" s="10" t="s">
        <v>1785</v>
      </c>
      <c r="B21" s="7" t="s">
        <v>624</v>
      </c>
      <c r="C21" s="8">
        <v>1</v>
      </c>
      <c r="D21" s="9">
        <v>40</v>
      </c>
      <c r="E21" s="9">
        <v>89.98</v>
      </c>
      <c r="F21" s="8" t="s">
        <v>623</v>
      </c>
      <c r="G21" s="7" t="s">
        <v>147</v>
      </c>
      <c r="H21" s="10" t="s">
        <v>28</v>
      </c>
      <c r="I21" s="9">
        <v>12</v>
      </c>
      <c r="J21" s="7" t="s">
        <v>237</v>
      </c>
      <c r="K21" s="7" t="s">
        <v>219</v>
      </c>
      <c r="L21" s="11" t="str">
        <f>HYPERLINK("http://slimages.macys.com/is/image/MCY/13079326 ")</f>
        <v xml:space="preserve">http://slimages.macys.com/is/image/MCY/13079326 </v>
      </c>
    </row>
    <row r="22" spans="1:12" ht="48" x14ac:dyDescent="0.25">
      <c r="A22" s="10" t="s">
        <v>1784</v>
      </c>
      <c r="B22" s="7" t="s">
        <v>1783</v>
      </c>
      <c r="C22" s="8">
        <v>2</v>
      </c>
      <c r="D22" s="9">
        <v>55.6</v>
      </c>
      <c r="E22" s="9">
        <v>139</v>
      </c>
      <c r="F22" s="8" t="s">
        <v>1782</v>
      </c>
      <c r="G22" s="7" t="s">
        <v>117</v>
      </c>
      <c r="H22" s="10" t="s">
        <v>115</v>
      </c>
      <c r="I22" s="9">
        <v>16.68</v>
      </c>
      <c r="J22" s="7" t="s">
        <v>187</v>
      </c>
      <c r="K22" s="7" t="s">
        <v>219</v>
      </c>
      <c r="L22" s="11" t="str">
        <f>HYPERLINK("http://slimages.macys.com/is/image/MCY/14023387 ")</f>
        <v xml:space="preserve">http://slimages.macys.com/is/image/MCY/14023387 </v>
      </c>
    </row>
    <row r="23" spans="1:12" ht="72" x14ac:dyDescent="0.25">
      <c r="A23" s="10" t="s">
        <v>148</v>
      </c>
      <c r="B23" s="7" t="s">
        <v>140</v>
      </c>
      <c r="C23" s="8">
        <v>1</v>
      </c>
      <c r="D23" s="9">
        <v>73.599999999999994</v>
      </c>
      <c r="E23" s="9">
        <v>199</v>
      </c>
      <c r="F23" s="8" t="s">
        <v>141</v>
      </c>
      <c r="G23" s="7" t="s">
        <v>27</v>
      </c>
      <c r="H23" s="10" t="s">
        <v>31</v>
      </c>
      <c r="I23" s="9">
        <v>22.08</v>
      </c>
      <c r="J23" s="7" t="s">
        <v>75</v>
      </c>
      <c r="K23" s="7" t="s">
        <v>142</v>
      </c>
      <c r="L23" s="11" t="str">
        <f>HYPERLINK("http://slimages.macys.com/is/image/MCY/14466743 ")</f>
        <v xml:space="preserve">http://slimages.macys.com/is/image/MCY/14466743 </v>
      </c>
    </row>
    <row r="24" spans="1:12" ht="48" x14ac:dyDescent="0.25">
      <c r="A24" s="10" t="s">
        <v>1781</v>
      </c>
      <c r="B24" s="7" t="s">
        <v>1780</v>
      </c>
      <c r="C24" s="8">
        <v>1</v>
      </c>
      <c r="D24" s="9">
        <v>47.6</v>
      </c>
      <c r="E24" s="9">
        <v>119</v>
      </c>
      <c r="F24" s="8" t="s">
        <v>1779</v>
      </c>
      <c r="G24" s="7" t="s">
        <v>27</v>
      </c>
      <c r="H24" s="10" t="s">
        <v>53</v>
      </c>
      <c r="I24" s="9">
        <v>14.28</v>
      </c>
      <c r="J24" s="7" t="s">
        <v>249</v>
      </c>
      <c r="K24" s="7" t="s">
        <v>219</v>
      </c>
      <c r="L24" s="11" t="str">
        <f>HYPERLINK("http://slimages.macys.com/is/image/MCY/14915121 ")</f>
        <v xml:space="preserve">http://slimages.macys.com/is/image/MCY/14915121 </v>
      </c>
    </row>
    <row r="25" spans="1:12" ht="48" x14ac:dyDescent="0.25">
      <c r="A25" s="10" t="s">
        <v>1778</v>
      </c>
      <c r="B25" s="7" t="s">
        <v>676</v>
      </c>
      <c r="C25" s="8">
        <v>1</v>
      </c>
      <c r="D25" s="9">
        <v>51.6</v>
      </c>
      <c r="E25" s="9">
        <v>129</v>
      </c>
      <c r="F25" s="8">
        <v>8475763</v>
      </c>
      <c r="G25" s="7" t="s">
        <v>37</v>
      </c>
      <c r="H25" s="10" t="s">
        <v>447</v>
      </c>
      <c r="I25" s="9">
        <v>15.48</v>
      </c>
      <c r="J25" s="7" t="s">
        <v>65</v>
      </c>
      <c r="K25" s="7" t="s">
        <v>46</v>
      </c>
      <c r="L25" s="11" t="str">
        <f>HYPERLINK("http://slimages.macys.com/is/image/MCY/14360455 ")</f>
        <v xml:space="preserve">http://slimages.macys.com/is/image/MCY/14360455 </v>
      </c>
    </row>
    <row r="26" spans="1:12" ht="48" x14ac:dyDescent="0.25">
      <c r="A26" s="10" t="s">
        <v>1777</v>
      </c>
      <c r="B26" s="7" t="s">
        <v>1775</v>
      </c>
      <c r="C26" s="8">
        <v>1</v>
      </c>
      <c r="D26" s="9">
        <v>51.6</v>
      </c>
      <c r="E26" s="9">
        <v>129</v>
      </c>
      <c r="F26" s="8">
        <v>84211496</v>
      </c>
      <c r="G26" s="7" t="s">
        <v>24</v>
      </c>
      <c r="H26" s="10" t="s">
        <v>447</v>
      </c>
      <c r="I26" s="9">
        <v>15.48</v>
      </c>
      <c r="J26" s="7" t="s">
        <v>65</v>
      </c>
      <c r="K26" s="7" t="s">
        <v>1774</v>
      </c>
      <c r="L26" s="11" t="str">
        <f>HYPERLINK("http://slimages.macys.com/is/image/MCY/14314602 ")</f>
        <v xml:space="preserve">http://slimages.macys.com/is/image/MCY/14314602 </v>
      </c>
    </row>
    <row r="27" spans="1:12" ht="48" x14ac:dyDescent="0.25">
      <c r="A27" s="10" t="s">
        <v>1776</v>
      </c>
      <c r="B27" s="7" t="s">
        <v>1775</v>
      </c>
      <c r="C27" s="8">
        <v>1</v>
      </c>
      <c r="D27" s="9">
        <v>51.6</v>
      </c>
      <c r="E27" s="9">
        <v>129</v>
      </c>
      <c r="F27" s="8">
        <v>84211496</v>
      </c>
      <c r="G27" s="7" t="s">
        <v>24</v>
      </c>
      <c r="H27" s="10" t="s">
        <v>409</v>
      </c>
      <c r="I27" s="9">
        <v>15.48</v>
      </c>
      <c r="J27" s="7" t="s">
        <v>65</v>
      </c>
      <c r="K27" s="7" t="s">
        <v>1774</v>
      </c>
      <c r="L27" s="11" t="str">
        <f>HYPERLINK("http://slimages.macys.com/is/image/MCY/14314602 ")</f>
        <v xml:space="preserve">http://slimages.macys.com/is/image/MCY/14314602 </v>
      </c>
    </row>
    <row r="28" spans="1:12" ht="48" x14ac:dyDescent="0.25">
      <c r="A28" s="10" t="s">
        <v>1773</v>
      </c>
      <c r="B28" s="7" t="s">
        <v>714</v>
      </c>
      <c r="C28" s="8">
        <v>1</v>
      </c>
      <c r="D28" s="9">
        <v>59.6</v>
      </c>
      <c r="E28" s="9">
        <v>149</v>
      </c>
      <c r="F28" s="8">
        <v>8427905</v>
      </c>
      <c r="G28" s="7" t="s">
        <v>324</v>
      </c>
      <c r="H28" s="10" t="s">
        <v>406</v>
      </c>
      <c r="I28" s="9">
        <v>17.88</v>
      </c>
      <c r="J28" s="7" t="s">
        <v>65</v>
      </c>
      <c r="K28" s="7" t="s">
        <v>1770</v>
      </c>
      <c r="L28" s="11" t="str">
        <f>HYPERLINK("http://slimages.macys.com/is/image/MCY/15175920 ")</f>
        <v xml:space="preserve">http://slimages.macys.com/is/image/MCY/15175920 </v>
      </c>
    </row>
    <row r="29" spans="1:12" ht="48" x14ac:dyDescent="0.25">
      <c r="A29" s="10" t="s">
        <v>1772</v>
      </c>
      <c r="B29" s="7" t="s">
        <v>714</v>
      </c>
      <c r="C29" s="8">
        <v>1</v>
      </c>
      <c r="D29" s="9">
        <v>59.6</v>
      </c>
      <c r="E29" s="9">
        <v>149</v>
      </c>
      <c r="F29" s="8">
        <v>8427905</v>
      </c>
      <c r="G29" s="7" t="s">
        <v>324</v>
      </c>
      <c r="H29" s="10" t="s">
        <v>409</v>
      </c>
      <c r="I29" s="9">
        <v>17.88</v>
      </c>
      <c r="J29" s="7" t="s">
        <v>65</v>
      </c>
      <c r="K29" s="7" t="s">
        <v>1770</v>
      </c>
      <c r="L29" s="11" t="str">
        <f>HYPERLINK("http://slimages.macys.com/is/image/MCY/15175920 ")</f>
        <v xml:space="preserve">http://slimages.macys.com/is/image/MCY/15175920 </v>
      </c>
    </row>
    <row r="30" spans="1:12" ht="48" x14ac:dyDescent="0.25">
      <c r="A30" s="10" t="s">
        <v>1771</v>
      </c>
      <c r="B30" s="7" t="s">
        <v>714</v>
      </c>
      <c r="C30" s="8">
        <v>1</v>
      </c>
      <c r="D30" s="9">
        <v>59.6</v>
      </c>
      <c r="E30" s="9">
        <v>149</v>
      </c>
      <c r="F30" s="8">
        <v>8427905</v>
      </c>
      <c r="G30" s="7" t="s">
        <v>324</v>
      </c>
      <c r="H30" s="10" t="s">
        <v>447</v>
      </c>
      <c r="I30" s="9">
        <v>17.88</v>
      </c>
      <c r="J30" s="7" t="s">
        <v>65</v>
      </c>
      <c r="K30" s="7" t="s">
        <v>1770</v>
      </c>
      <c r="L30" s="11" t="str">
        <f>HYPERLINK("http://slimages.macys.com/is/image/MCY/15175920 ")</f>
        <v xml:space="preserve">http://slimages.macys.com/is/image/MCY/15175920 </v>
      </c>
    </row>
    <row r="31" spans="1:12" ht="48" x14ac:dyDescent="0.25">
      <c r="A31" s="10" t="s">
        <v>314</v>
      </c>
      <c r="B31" s="7" t="s">
        <v>315</v>
      </c>
      <c r="C31" s="8">
        <v>1</v>
      </c>
      <c r="D31" s="9">
        <v>47.6</v>
      </c>
      <c r="E31" s="9">
        <v>119</v>
      </c>
      <c r="F31" s="8" t="s">
        <v>316</v>
      </c>
      <c r="G31" s="7" t="s">
        <v>27</v>
      </c>
      <c r="H31" s="10" t="s">
        <v>30</v>
      </c>
      <c r="I31" s="9">
        <v>14.28</v>
      </c>
      <c r="J31" s="7" t="s">
        <v>183</v>
      </c>
      <c r="K31" s="7" t="s">
        <v>219</v>
      </c>
      <c r="L31" s="11" t="str">
        <f>HYPERLINK("http://slimages.macys.com/is/image/MCY/15633749 ")</f>
        <v xml:space="preserve">http://slimages.macys.com/is/image/MCY/15633749 </v>
      </c>
    </row>
    <row r="32" spans="1:12" ht="48" x14ac:dyDescent="0.25">
      <c r="A32" s="10" t="s">
        <v>1769</v>
      </c>
      <c r="B32" s="7" t="s">
        <v>315</v>
      </c>
      <c r="C32" s="8">
        <v>1</v>
      </c>
      <c r="D32" s="9">
        <v>47.6</v>
      </c>
      <c r="E32" s="9">
        <v>119</v>
      </c>
      <c r="F32" s="8" t="s">
        <v>316</v>
      </c>
      <c r="G32" s="7" t="s">
        <v>27</v>
      </c>
      <c r="H32" s="10" t="s">
        <v>31</v>
      </c>
      <c r="I32" s="9">
        <v>14.28</v>
      </c>
      <c r="J32" s="7" t="s">
        <v>183</v>
      </c>
      <c r="K32" s="7" t="s">
        <v>219</v>
      </c>
      <c r="L32" s="11" t="str">
        <f>HYPERLINK("http://slimages.macys.com/is/image/MCY/15633749 ")</f>
        <v xml:space="preserve">http://slimages.macys.com/is/image/MCY/15633749 </v>
      </c>
    </row>
    <row r="33" spans="1:12" ht="48" x14ac:dyDescent="0.25">
      <c r="A33" s="10" t="s">
        <v>1768</v>
      </c>
      <c r="B33" s="7" t="s">
        <v>315</v>
      </c>
      <c r="C33" s="8">
        <v>1</v>
      </c>
      <c r="D33" s="9">
        <v>47.6</v>
      </c>
      <c r="E33" s="9">
        <v>119</v>
      </c>
      <c r="F33" s="8" t="s">
        <v>316</v>
      </c>
      <c r="G33" s="7" t="s">
        <v>27</v>
      </c>
      <c r="H33" s="10" t="s">
        <v>57</v>
      </c>
      <c r="I33" s="9">
        <v>14.28</v>
      </c>
      <c r="J33" s="7" t="s">
        <v>183</v>
      </c>
      <c r="K33" s="7" t="s">
        <v>219</v>
      </c>
      <c r="L33" s="11" t="str">
        <f>HYPERLINK("http://slimages.macys.com/is/image/MCY/15633749 ")</f>
        <v xml:space="preserve">http://slimages.macys.com/is/image/MCY/15633749 </v>
      </c>
    </row>
    <row r="34" spans="1:12" ht="48" x14ac:dyDescent="0.25">
      <c r="A34" s="10" t="s">
        <v>1767</v>
      </c>
      <c r="B34" s="7" t="s">
        <v>386</v>
      </c>
      <c r="C34" s="8">
        <v>1</v>
      </c>
      <c r="D34" s="9">
        <v>39.6</v>
      </c>
      <c r="E34" s="9">
        <v>99</v>
      </c>
      <c r="F34" s="8" t="s">
        <v>387</v>
      </c>
      <c r="G34" s="7" t="s">
        <v>88</v>
      </c>
      <c r="H34" s="10" t="s">
        <v>53</v>
      </c>
      <c r="I34" s="9">
        <v>11.88</v>
      </c>
      <c r="J34" s="7" t="s">
        <v>183</v>
      </c>
      <c r="K34" s="7" t="s">
        <v>219</v>
      </c>
      <c r="L34" s="11" t="str">
        <f>HYPERLINK("http://slimages.macys.com/is/image/MCY/15633440 ")</f>
        <v xml:space="preserve">http://slimages.macys.com/is/image/MCY/15633440 </v>
      </c>
    </row>
    <row r="35" spans="1:12" ht="48" x14ac:dyDescent="0.25">
      <c r="A35" s="10" t="s">
        <v>659</v>
      </c>
      <c r="B35" s="7" t="s">
        <v>336</v>
      </c>
      <c r="C35" s="8">
        <v>1</v>
      </c>
      <c r="D35" s="9">
        <v>45.15</v>
      </c>
      <c r="E35" s="9">
        <v>129</v>
      </c>
      <c r="F35" s="8">
        <v>9119133</v>
      </c>
      <c r="G35" s="7" t="s">
        <v>326</v>
      </c>
      <c r="H35" s="10" t="s">
        <v>28</v>
      </c>
      <c r="I35" s="9">
        <v>13.545</v>
      </c>
      <c r="J35" s="7" t="s">
        <v>54</v>
      </c>
      <c r="K35" s="7" t="s">
        <v>337</v>
      </c>
      <c r="L35" s="11" t="str">
        <f>HYPERLINK("http://slimages.macys.com/is/image/MCY/15213348 ")</f>
        <v xml:space="preserve">http://slimages.macys.com/is/image/MCY/15213348 </v>
      </c>
    </row>
    <row r="36" spans="1:12" ht="48" x14ac:dyDescent="0.25">
      <c r="A36" s="10" t="s">
        <v>338</v>
      </c>
      <c r="B36" s="7" t="s">
        <v>336</v>
      </c>
      <c r="C36" s="8">
        <v>1</v>
      </c>
      <c r="D36" s="9">
        <v>45.15</v>
      </c>
      <c r="E36" s="9">
        <v>129</v>
      </c>
      <c r="F36" s="8">
        <v>9119133</v>
      </c>
      <c r="G36" s="7" t="s">
        <v>326</v>
      </c>
      <c r="H36" s="10" t="s">
        <v>62</v>
      </c>
      <c r="I36" s="9">
        <v>13.545</v>
      </c>
      <c r="J36" s="7" t="s">
        <v>54</v>
      </c>
      <c r="K36" s="7" t="s">
        <v>337</v>
      </c>
      <c r="L36" s="11" t="str">
        <f>HYPERLINK("http://slimages.macys.com/is/image/MCY/15213348 ")</f>
        <v xml:space="preserve">http://slimages.macys.com/is/image/MCY/15213348 </v>
      </c>
    </row>
    <row r="37" spans="1:12" ht="48" x14ac:dyDescent="0.25">
      <c r="A37" s="10" t="s">
        <v>1766</v>
      </c>
      <c r="B37" s="7" t="s">
        <v>336</v>
      </c>
      <c r="C37" s="8">
        <v>1</v>
      </c>
      <c r="D37" s="9">
        <v>45.15</v>
      </c>
      <c r="E37" s="9">
        <v>129</v>
      </c>
      <c r="F37" s="8">
        <v>9119133</v>
      </c>
      <c r="G37" s="7" t="s">
        <v>326</v>
      </c>
      <c r="H37" s="10" t="s">
        <v>53</v>
      </c>
      <c r="I37" s="9">
        <v>13.545</v>
      </c>
      <c r="J37" s="7" t="s">
        <v>54</v>
      </c>
      <c r="K37" s="7" t="s">
        <v>337</v>
      </c>
      <c r="L37" s="11" t="str">
        <f>HYPERLINK("http://slimages.macys.com/is/image/MCY/15213348 ")</f>
        <v xml:space="preserve">http://slimages.macys.com/is/image/MCY/15213348 </v>
      </c>
    </row>
    <row r="38" spans="1:12" ht="48" x14ac:dyDescent="0.25">
      <c r="A38" s="10" t="s">
        <v>1765</v>
      </c>
      <c r="B38" s="7" t="s">
        <v>1761</v>
      </c>
      <c r="C38" s="8">
        <v>1</v>
      </c>
      <c r="D38" s="9">
        <v>64.599999999999994</v>
      </c>
      <c r="E38" s="9">
        <v>199</v>
      </c>
      <c r="F38" s="8" t="s">
        <v>1760</v>
      </c>
      <c r="G38" s="7" t="s">
        <v>443</v>
      </c>
      <c r="H38" s="10" t="s">
        <v>30</v>
      </c>
      <c r="I38" s="9">
        <v>19.38</v>
      </c>
      <c r="J38" s="7" t="s">
        <v>182</v>
      </c>
      <c r="K38" s="7" t="s">
        <v>219</v>
      </c>
      <c r="L38" s="11" t="str">
        <f>HYPERLINK("http://slimages.macys.com/is/image/MCY/14788832 ")</f>
        <v xml:space="preserve">http://slimages.macys.com/is/image/MCY/14788832 </v>
      </c>
    </row>
    <row r="39" spans="1:12" ht="48" x14ac:dyDescent="0.25">
      <c r="A39" s="10" t="s">
        <v>1764</v>
      </c>
      <c r="B39" s="7" t="s">
        <v>1761</v>
      </c>
      <c r="C39" s="8">
        <v>2</v>
      </c>
      <c r="D39" s="9">
        <v>64.599999999999994</v>
      </c>
      <c r="E39" s="9">
        <v>199</v>
      </c>
      <c r="F39" s="8" t="s">
        <v>1760</v>
      </c>
      <c r="G39" s="7" t="s">
        <v>443</v>
      </c>
      <c r="H39" s="10" t="s">
        <v>53</v>
      </c>
      <c r="I39" s="9">
        <v>19.38</v>
      </c>
      <c r="J39" s="7" t="s">
        <v>182</v>
      </c>
      <c r="K39" s="7" t="s">
        <v>219</v>
      </c>
      <c r="L39" s="11" t="str">
        <f>HYPERLINK("http://slimages.macys.com/is/image/MCY/14788832 ")</f>
        <v xml:space="preserve">http://slimages.macys.com/is/image/MCY/14788832 </v>
      </c>
    </row>
    <row r="40" spans="1:12" ht="48" x14ac:dyDescent="0.25">
      <c r="A40" s="10" t="s">
        <v>1763</v>
      </c>
      <c r="B40" s="7" t="s">
        <v>1761</v>
      </c>
      <c r="C40" s="8">
        <v>2</v>
      </c>
      <c r="D40" s="9">
        <v>64.599999999999994</v>
      </c>
      <c r="E40" s="9">
        <v>199</v>
      </c>
      <c r="F40" s="8" t="s">
        <v>1760</v>
      </c>
      <c r="G40" s="7" t="s">
        <v>443</v>
      </c>
      <c r="H40" s="10" t="s">
        <v>28</v>
      </c>
      <c r="I40" s="9">
        <v>19.38</v>
      </c>
      <c r="J40" s="7" t="s">
        <v>182</v>
      </c>
      <c r="K40" s="7" t="s">
        <v>219</v>
      </c>
      <c r="L40" s="11" t="str">
        <f>HYPERLINK("http://slimages.macys.com/is/image/MCY/14788832 ")</f>
        <v xml:space="preserve">http://slimages.macys.com/is/image/MCY/14788832 </v>
      </c>
    </row>
    <row r="41" spans="1:12" ht="48" x14ac:dyDescent="0.25">
      <c r="A41" s="10" t="s">
        <v>1762</v>
      </c>
      <c r="B41" s="7" t="s">
        <v>1761</v>
      </c>
      <c r="C41" s="8">
        <v>1</v>
      </c>
      <c r="D41" s="9">
        <v>64.599999999999994</v>
      </c>
      <c r="E41" s="9">
        <v>199</v>
      </c>
      <c r="F41" s="8" t="s">
        <v>1760</v>
      </c>
      <c r="G41" s="7" t="s">
        <v>443</v>
      </c>
      <c r="H41" s="10" t="s">
        <v>57</v>
      </c>
      <c r="I41" s="9">
        <v>19.38</v>
      </c>
      <c r="J41" s="7" t="s">
        <v>182</v>
      </c>
      <c r="K41" s="7" t="s">
        <v>219</v>
      </c>
      <c r="L41" s="11" t="str">
        <f>HYPERLINK("http://slimages.macys.com/is/image/MCY/14788832 ")</f>
        <v xml:space="preserve">http://slimages.macys.com/is/image/MCY/14788832 </v>
      </c>
    </row>
    <row r="42" spans="1:12" ht="48" x14ac:dyDescent="0.25">
      <c r="A42" s="10" t="s">
        <v>1759</v>
      </c>
      <c r="B42" s="7" t="s">
        <v>1758</v>
      </c>
      <c r="C42" s="8">
        <v>1</v>
      </c>
      <c r="D42" s="9">
        <v>51.73</v>
      </c>
      <c r="E42" s="9">
        <v>139</v>
      </c>
      <c r="F42" s="8" t="s">
        <v>1757</v>
      </c>
      <c r="G42" s="7" t="s">
        <v>63</v>
      </c>
      <c r="H42" s="10" t="s">
        <v>212</v>
      </c>
      <c r="I42" s="9">
        <v>15.519</v>
      </c>
      <c r="J42" s="7" t="s">
        <v>79</v>
      </c>
      <c r="K42" s="7" t="s">
        <v>46</v>
      </c>
      <c r="L42" s="11" t="str">
        <f>HYPERLINK("http://slimages.macys.com/is/image/MCY/13789869 ")</f>
        <v xml:space="preserve">http://slimages.macys.com/is/image/MCY/13789869 </v>
      </c>
    </row>
    <row r="43" spans="1:12" ht="48" x14ac:dyDescent="0.25">
      <c r="A43" s="10" t="s">
        <v>228</v>
      </c>
      <c r="B43" s="7" t="s">
        <v>229</v>
      </c>
      <c r="C43" s="8">
        <v>1</v>
      </c>
      <c r="D43" s="9">
        <v>60.9</v>
      </c>
      <c r="E43" s="9">
        <v>145</v>
      </c>
      <c r="F43" s="8">
        <v>250783134001</v>
      </c>
      <c r="G43" s="7" t="s">
        <v>27</v>
      </c>
      <c r="H43" s="10" t="s">
        <v>57</v>
      </c>
      <c r="I43" s="9">
        <v>18.27</v>
      </c>
      <c r="J43" s="7" t="s">
        <v>137</v>
      </c>
      <c r="K43" s="7" t="s">
        <v>174</v>
      </c>
      <c r="L43" s="11" t="str">
        <f>HYPERLINK("http://slimages.macys.com/is/image/MCY/15295689 ")</f>
        <v xml:space="preserve">http://slimages.macys.com/is/image/MCY/15295689 </v>
      </c>
    </row>
    <row r="44" spans="1:12" ht="48" x14ac:dyDescent="0.25">
      <c r="A44" s="10" t="s">
        <v>1756</v>
      </c>
      <c r="B44" s="7" t="s">
        <v>229</v>
      </c>
      <c r="C44" s="8">
        <v>2</v>
      </c>
      <c r="D44" s="9">
        <v>60.9</v>
      </c>
      <c r="E44" s="9">
        <v>145</v>
      </c>
      <c r="F44" s="8">
        <v>250783134001</v>
      </c>
      <c r="G44" s="7" t="s">
        <v>27</v>
      </c>
      <c r="H44" s="10" t="s">
        <v>53</v>
      </c>
      <c r="I44" s="9">
        <v>18.27</v>
      </c>
      <c r="J44" s="7" t="s">
        <v>137</v>
      </c>
      <c r="K44" s="7" t="s">
        <v>174</v>
      </c>
      <c r="L44" s="11" t="str">
        <f>HYPERLINK("http://slimages.macys.com/is/image/MCY/15295689 ")</f>
        <v xml:space="preserve">http://slimages.macys.com/is/image/MCY/15295689 </v>
      </c>
    </row>
    <row r="45" spans="1:12" ht="60" x14ac:dyDescent="0.25">
      <c r="A45" s="10" t="s">
        <v>1755</v>
      </c>
      <c r="B45" s="7" t="s">
        <v>488</v>
      </c>
      <c r="C45" s="8">
        <v>1</v>
      </c>
      <c r="D45" s="9">
        <v>21</v>
      </c>
      <c r="E45" s="9">
        <v>69</v>
      </c>
      <c r="F45" s="8" t="s">
        <v>489</v>
      </c>
      <c r="G45" s="7" t="s">
        <v>27</v>
      </c>
      <c r="H45" s="10" t="s">
        <v>403</v>
      </c>
      <c r="I45" s="9">
        <v>6.3</v>
      </c>
      <c r="J45" s="7" t="s">
        <v>475</v>
      </c>
      <c r="K45" s="7" t="s">
        <v>100</v>
      </c>
      <c r="L45" s="11" t="str">
        <f>HYPERLINK("http://slimages.macys.com/is/image/MCY/15146739 ")</f>
        <v xml:space="preserve">http://slimages.macys.com/is/image/MCY/15146739 </v>
      </c>
    </row>
    <row r="46" spans="1:12" ht="60" x14ac:dyDescent="0.25">
      <c r="A46" s="10" t="s">
        <v>592</v>
      </c>
      <c r="B46" s="7" t="s">
        <v>488</v>
      </c>
      <c r="C46" s="8">
        <v>1</v>
      </c>
      <c r="D46" s="9">
        <v>21</v>
      </c>
      <c r="E46" s="9">
        <v>69</v>
      </c>
      <c r="F46" s="8" t="s">
        <v>489</v>
      </c>
      <c r="G46" s="7" t="s">
        <v>27</v>
      </c>
      <c r="H46" s="10" t="s">
        <v>442</v>
      </c>
      <c r="I46" s="9">
        <v>6.3</v>
      </c>
      <c r="J46" s="7" t="s">
        <v>475</v>
      </c>
      <c r="K46" s="7" t="s">
        <v>100</v>
      </c>
      <c r="L46" s="11" t="str">
        <f>HYPERLINK("http://slimages.macys.com/is/image/MCY/15146739 ")</f>
        <v xml:space="preserve">http://slimages.macys.com/is/image/MCY/15146739 </v>
      </c>
    </row>
    <row r="47" spans="1:12" ht="60" x14ac:dyDescent="0.25">
      <c r="A47" s="10" t="s">
        <v>487</v>
      </c>
      <c r="B47" s="7" t="s">
        <v>488</v>
      </c>
      <c r="C47" s="8">
        <v>2</v>
      </c>
      <c r="D47" s="9">
        <v>21</v>
      </c>
      <c r="E47" s="9">
        <v>69</v>
      </c>
      <c r="F47" s="8" t="s">
        <v>489</v>
      </c>
      <c r="G47" s="7" t="s">
        <v>27</v>
      </c>
      <c r="H47" s="10" t="s">
        <v>405</v>
      </c>
      <c r="I47" s="9">
        <v>6.3</v>
      </c>
      <c r="J47" s="7" t="s">
        <v>475</v>
      </c>
      <c r="K47" s="7" t="s">
        <v>100</v>
      </c>
      <c r="L47" s="11" t="str">
        <f>HYPERLINK("http://slimages.macys.com/is/image/MCY/15146739 ")</f>
        <v xml:space="preserve">http://slimages.macys.com/is/image/MCY/15146739 </v>
      </c>
    </row>
    <row r="48" spans="1:12" ht="60" x14ac:dyDescent="0.25">
      <c r="A48" s="10" t="s">
        <v>1754</v>
      </c>
      <c r="B48" s="7" t="s">
        <v>488</v>
      </c>
      <c r="C48" s="8">
        <v>1</v>
      </c>
      <c r="D48" s="9">
        <v>21</v>
      </c>
      <c r="E48" s="9">
        <v>69</v>
      </c>
      <c r="F48" s="8" t="s">
        <v>489</v>
      </c>
      <c r="G48" s="7" t="s">
        <v>27</v>
      </c>
      <c r="H48" s="10" t="s">
        <v>89</v>
      </c>
      <c r="I48" s="9">
        <v>6.3</v>
      </c>
      <c r="J48" s="7" t="s">
        <v>475</v>
      </c>
      <c r="K48" s="7" t="s">
        <v>100</v>
      </c>
      <c r="L48" s="11" t="str">
        <f>HYPERLINK("http://slimages.macys.com/is/image/MCY/15146739 ")</f>
        <v xml:space="preserve">http://slimages.macys.com/is/image/MCY/15146739 </v>
      </c>
    </row>
    <row r="49" spans="1:12" ht="48" x14ac:dyDescent="0.25">
      <c r="A49" s="10" t="s">
        <v>1753</v>
      </c>
      <c r="B49" s="7" t="s">
        <v>550</v>
      </c>
      <c r="C49" s="8">
        <v>1</v>
      </c>
      <c r="D49" s="9">
        <v>13</v>
      </c>
      <c r="E49" s="9">
        <v>39</v>
      </c>
      <c r="F49" s="8" t="s">
        <v>551</v>
      </c>
      <c r="G49" s="7"/>
      <c r="H49" s="10" t="s">
        <v>285</v>
      </c>
      <c r="I49" s="9">
        <v>3.9</v>
      </c>
      <c r="J49" s="7" t="s">
        <v>382</v>
      </c>
      <c r="K49" s="7" t="s">
        <v>52</v>
      </c>
      <c r="L49" s="11" t="str">
        <f>HYPERLINK("http://slimages.macys.com/is/image/MCY/15011450 ")</f>
        <v xml:space="preserve">http://slimages.macys.com/is/image/MCY/15011450 </v>
      </c>
    </row>
    <row r="50" spans="1:12" ht="48" x14ac:dyDescent="0.25">
      <c r="A50" s="10" t="s">
        <v>199</v>
      </c>
      <c r="B50" s="7" t="s">
        <v>196</v>
      </c>
      <c r="C50" s="8">
        <v>3</v>
      </c>
      <c r="D50" s="9">
        <v>65</v>
      </c>
      <c r="E50" s="9">
        <v>178</v>
      </c>
      <c r="F50" s="8" t="s">
        <v>197</v>
      </c>
      <c r="G50" s="7"/>
      <c r="H50" s="10" t="s">
        <v>28</v>
      </c>
      <c r="I50" s="9">
        <v>19.5</v>
      </c>
      <c r="J50" s="7" t="s">
        <v>43</v>
      </c>
      <c r="K50" s="7" t="s">
        <v>198</v>
      </c>
      <c r="L50" s="11" t="str">
        <f>HYPERLINK("http://slimages.macys.com/is/image/MCY/15219145 ")</f>
        <v xml:space="preserve">http://slimages.macys.com/is/image/MCY/15219145 </v>
      </c>
    </row>
    <row r="51" spans="1:12" ht="48" x14ac:dyDescent="0.25">
      <c r="A51" s="10" t="s">
        <v>1752</v>
      </c>
      <c r="B51" s="7" t="s">
        <v>196</v>
      </c>
      <c r="C51" s="8">
        <v>1</v>
      </c>
      <c r="D51" s="9">
        <v>65</v>
      </c>
      <c r="E51" s="9">
        <v>178</v>
      </c>
      <c r="F51" s="8" t="s">
        <v>197</v>
      </c>
      <c r="G51" s="7"/>
      <c r="H51" s="10" t="s">
        <v>30</v>
      </c>
      <c r="I51" s="9">
        <v>19.5</v>
      </c>
      <c r="J51" s="7" t="s">
        <v>43</v>
      </c>
      <c r="K51" s="7" t="s">
        <v>198</v>
      </c>
      <c r="L51" s="11" t="str">
        <f>HYPERLINK("http://slimages.macys.com/is/image/MCY/15219145 ")</f>
        <v xml:space="preserve">http://slimages.macys.com/is/image/MCY/15219145 </v>
      </c>
    </row>
    <row r="52" spans="1:12" ht="48" x14ac:dyDescent="0.25">
      <c r="A52" s="10" t="s">
        <v>195</v>
      </c>
      <c r="B52" s="7" t="s">
        <v>196</v>
      </c>
      <c r="C52" s="8">
        <v>1</v>
      </c>
      <c r="D52" s="9">
        <v>65</v>
      </c>
      <c r="E52" s="9">
        <v>178</v>
      </c>
      <c r="F52" s="8" t="s">
        <v>197</v>
      </c>
      <c r="G52" s="7"/>
      <c r="H52" s="10" t="s">
        <v>25</v>
      </c>
      <c r="I52" s="9">
        <v>19.5</v>
      </c>
      <c r="J52" s="7" t="s">
        <v>43</v>
      </c>
      <c r="K52" s="7" t="s">
        <v>198</v>
      </c>
      <c r="L52" s="11" t="str">
        <f>HYPERLINK("http://slimages.macys.com/is/image/MCY/15219145 ")</f>
        <v xml:space="preserve">http://slimages.macys.com/is/image/MCY/15219145 </v>
      </c>
    </row>
    <row r="53" spans="1:12" ht="48" x14ac:dyDescent="0.25">
      <c r="A53" s="10" t="s">
        <v>1751</v>
      </c>
      <c r="B53" s="7" t="s">
        <v>1749</v>
      </c>
      <c r="C53" s="8">
        <v>1</v>
      </c>
      <c r="D53" s="9">
        <v>73.599999999999994</v>
      </c>
      <c r="E53" s="9">
        <v>199</v>
      </c>
      <c r="F53" s="8" t="s">
        <v>1748</v>
      </c>
      <c r="G53" s="7" t="s">
        <v>27</v>
      </c>
      <c r="H53" s="10" t="s">
        <v>53</v>
      </c>
      <c r="I53" s="9">
        <v>22.08</v>
      </c>
      <c r="J53" s="7" t="s">
        <v>75</v>
      </c>
      <c r="K53" s="7" t="s">
        <v>61</v>
      </c>
      <c r="L53" s="11" t="str">
        <f>HYPERLINK("http://slimages.macys.com/is/image/MCY/13830407 ")</f>
        <v xml:space="preserve">http://slimages.macys.com/is/image/MCY/13830407 </v>
      </c>
    </row>
    <row r="54" spans="1:12" ht="48" x14ac:dyDescent="0.25">
      <c r="A54" s="10" t="s">
        <v>1750</v>
      </c>
      <c r="B54" s="7" t="s">
        <v>1749</v>
      </c>
      <c r="C54" s="8">
        <v>1</v>
      </c>
      <c r="D54" s="9">
        <v>73.599999999999994</v>
      </c>
      <c r="E54" s="9">
        <v>199</v>
      </c>
      <c r="F54" s="8" t="s">
        <v>1748</v>
      </c>
      <c r="G54" s="7" t="s">
        <v>27</v>
      </c>
      <c r="H54" s="10" t="s">
        <v>57</v>
      </c>
      <c r="I54" s="9">
        <v>22.08</v>
      </c>
      <c r="J54" s="7" t="s">
        <v>75</v>
      </c>
      <c r="K54" s="7" t="s">
        <v>61</v>
      </c>
      <c r="L54" s="11" t="str">
        <f>HYPERLINK("http://slimages.macys.com/is/image/MCY/13830407 ")</f>
        <v xml:space="preserve">http://slimages.macys.com/is/image/MCY/13830407 </v>
      </c>
    </row>
    <row r="55" spans="1:12" ht="72" x14ac:dyDescent="0.25">
      <c r="A55" s="10" t="s">
        <v>1747</v>
      </c>
      <c r="B55" s="7" t="s">
        <v>1746</v>
      </c>
      <c r="C55" s="8">
        <v>1</v>
      </c>
      <c r="D55" s="9">
        <v>60.9</v>
      </c>
      <c r="E55" s="9">
        <v>145</v>
      </c>
      <c r="F55" s="8">
        <v>250772739002</v>
      </c>
      <c r="G55" s="7" t="s">
        <v>292</v>
      </c>
      <c r="H55" s="10" t="s">
        <v>62</v>
      </c>
      <c r="I55" s="9">
        <v>18.27</v>
      </c>
      <c r="J55" s="7" t="s">
        <v>137</v>
      </c>
      <c r="K55" s="7" t="s">
        <v>59</v>
      </c>
      <c r="L55" s="11" t="str">
        <f>HYPERLINK("http://slimages.macys.com/is/image/MCY/15297068 ")</f>
        <v xml:space="preserve">http://slimages.macys.com/is/image/MCY/15297068 </v>
      </c>
    </row>
    <row r="56" spans="1:12" ht="48" x14ac:dyDescent="0.25">
      <c r="A56" s="10" t="s">
        <v>1745</v>
      </c>
      <c r="B56" s="7" t="s">
        <v>660</v>
      </c>
      <c r="C56" s="8">
        <v>1</v>
      </c>
      <c r="D56" s="9">
        <v>45.78</v>
      </c>
      <c r="E56" s="9">
        <v>109</v>
      </c>
      <c r="F56" s="8">
        <v>250783929001</v>
      </c>
      <c r="G56" s="7" t="s">
        <v>27</v>
      </c>
      <c r="H56" s="10" t="s">
        <v>89</v>
      </c>
      <c r="I56" s="9">
        <v>13.734</v>
      </c>
      <c r="J56" s="7" t="s">
        <v>137</v>
      </c>
      <c r="K56" s="7" t="s">
        <v>174</v>
      </c>
      <c r="L56" s="11" t="str">
        <f>HYPERLINK("http://slimages.macys.com/is/image/MCY/15346791 ")</f>
        <v xml:space="preserve">http://slimages.macys.com/is/image/MCY/15346791 </v>
      </c>
    </row>
    <row r="57" spans="1:12" ht="60" x14ac:dyDescent="0.25">
      <c r="A57" s="10" t="s">
        <v>1744</v>
      </c>
      <c r="B57" s="7" t="s">
        <v>1743</v>
      </c>
      <c r="C57" s="8">
        <v>2</v>
      </c>
      <c r="D57" s="9">
        <v>55.6</v>
      </c>
      <c r="E57" s="9">
        <v>139</v>
      </c>
      <c r="F57" s="8" t="s">
        <v>1742</v>
      </c>
      <c r="G57" s="7" t="s">
        <v>147</v>
      </c>
      <c r="H57" s="10" t="s">
        <v>102</v>
      </c>
      <c r="I57" s="9">
        <v>16.68</v>
      </c>
      <c r="J57" s="7" t="s">
        <v>134</v>
      </c>
      <c r="K57" s="7" t="s">
        <v>327</v>
      </c>
      <c r="L57" s="11" t="str">
        <f>HYPERLINK("http://slimages.macys.com/is/image/MCY/14516570 ")</f>
        <v xml:space="preserve">http://slimages.macys.com/is/image/MCY/14516570 </v>
      </c>
    </row>
    <row r="58" spans="1:12" ht="96" x14ac:dyDescent="0.25">
      <c r="A58" s="10" t="s">
        <v>1741</v>
      </c>
      <c r="B58" s="7" t="s">
        <v>263</v>
      </c>
      <c r="C58" s="8">
        <v>1</v>
      </c>
      <c r="D58" s="9">
        <v>55.6</v>
      </c>
      <c r="E58" s="9">
        <v>139</v>
      </c>
      <c r="F58" s="8" t="s">
        <v>264</v>
      </c>
      <c r="G58" s="7" t="s">
        <v>147</v>
      </c>
      <c r="H58" s="10" t="s">
        <v>25</v>
      </c>
      <c r="I58" s="9">
        <v>16.68</v>
      </c>
      <c r="J58" s="7" t="s">
        <v>237</v>
      </c>
      <c r="K58" s="7" t="s">
        <v>265</v>
      </c>
      <c r="L58" s="11" t="str">
        <f>HYPERLINK("http://slimages.macys.com/is/image/MCY/14516570 ")</f>
        <v xml:space="preserve">http://slimages.macys.com/is/image/MCY/14516570 </v>
      </c>
    </row>
    <row r="59" spans="1:12" ht="48" x14ac:dyDescent="0.25">
      <c r="A59" s="10" t="s">
        <v>1740</v>
      </c>
      <c r="B59" s="7" t="s">
        <v>321</v>
      </c>
      <c r="C59" s="8">
        <v>1</v>
      </c>
      <c r="D59" s="9">
        <v>47.6</v>
      </c>
      <c r="E59" s="9">
        <v>119</v>
      </c>
      <c r="F59" s="8" t="s">
        <v>322</v>
      </c>
      <c r="G59" s="7" t="s">
        <v>323</v>
      </c>
      <c r="H59" s="10" t="s">
        <v>57</v>
      </c>
      <c r="I59" s="9">
        <v>14.28</v>
      </c>
      <c r="J59" s="7" t="s">
        <v>237</v>
      </c>
      <c r="K59" s="7" t="s">
        <v>219</v>
      </c>
      <c r="L59" s="11" t="str">
        <f>HYPERLINK("http://slimages.macys.com/is/image/MCY/15107352 ")</f>
        <v xml:space="preserve">http://slimages.macys.com/is/image/MCY/15107352 </v>
      </c>
    </row>
    <row r="60" spans="1:12" ht="48" x14ac:dyDescent="0.25">
      <c r="A60" s="10" t="s">
        <v>1739</v>
      </c>
      <c r="B60" s="7" t="s">
        <v>1738</v>
      </c>
      <c r="C60" s="8">
        <v>1</v>
      </c>
      <c r="D60" s="9">
        <v>40</v>
      </c>
      <c r="E60" s="9">
        <v>89.98</v>
      </c>
      <c r="F60" s="8" t="s">
        <v>1737</v>
      </c>
      <c r="G60" s="7" t="s">
        <v>27</v>
      </c>
      <c r="H60" s="10" t="s">
        <v>30</v>
      </c>
      <c r="I60" s="9">
        <v>12</v>
      </c>
      <c r="J60" s="7" t="s">
        <v>237</v>
      </c>
      <c r="K60" s="7" t="s">
        <v>219</v>
      </c>
      <c r="L60" s="11" t="str">
        <f>HYPERLINK("http://slimages.macys.com/is/image/MCY/14023198 ")</f>
        <v xml:space="preserve">http://slimages.macys.com/is/image/MCY/14023198 </v>
      </c>
    </row>
    <row r="61" spans="1:12" ht="48" x14ac:dyDescent="0.25">
      <c r="A61" s="10" t="s">
        <v>645</v>
      </c>
      <c r="B61" s="7" t="s">
        <v>644</v>
      </c>
      <c r="C61" s="8">
        <v>1</v>
      </c>
      <c r="D61" s="9">
        <v>40</v>
      </c>
      <c r="E61" s="9">
        <v>89.98</v>
      </c>
      <c r="F61" s="8" t="s">
        <v>643</v>
      </c>
      <c r="G61" s="7" t="s">
        <v>27</v>
      </c>
      <c r="H61" s="10" t="s">
        <v>62</v>
      </c>
      <c r="I61" s="9">
        <v>12</v>
      </c>
      <c r="J61" s="7" t="s">
        <v>237</v>
      </c>
      <c r="K61" s="7" t="s">
        <v>61</v>
      </c>
      <c r="L61" s="11" t="str">
        <f>HYPERLINK("http://slimages.macys.com/is/image/MCY/15690582 ")</f>
        <v xml:space="preserve">http://slimages.macys.com/is/image/MCY/15690582 </v>
      </c>
    </row>
    <row r="62" spans="1:12" ht="60" x14ac:dyDescent="0.25">
      <c r="A62" s="10" t="s">
        <v>1736</v>
      </c>
      <c r="B62" s="7" t="s">
        <v>1733</v>
      </c>
      <c r="C62" s="8">
        <v>1</v>
      </c>
      <c r="D62" s="9">
        <v>18.75</v>
      </c>
      <c r="E62" s="9">
        <v>59</v>
      </c>
      <c r="F62" s="8" t="s">
        <v>1732</v>
      </c>
      <c r="G62" s="7" t="s">
        <v>45</v>
      </c>
      <c r="H62" s="10" t="s">
        <v>442</v>
      </c>
      <c r="I62" s="9">
        <v>5.625</v>
      </c>
      <c r="J62" s="7" t="s">
        <v>475</v>
      </c>
      <c r="K62" s="7" t="s">
        <v>1731</v>
      </c>
      <c r="L62" s="11" t="str">
        <f>HYPERLINK("http://slimages.macys.com/is/image/MCY/15723108 ")</f>
        <v xml:space="preserve">http://slimages.macys.com/is/image/MCY/15723108 </v>
      </c>
    </row>
    <row r="63" spans="1:12" ht="60" x14ac:dyDescent="0.25">
      <c r="A63" s="10" t="s">
        <v>1735</v>
      </c>
      <c r="B63" s="7" t="s">
        <v>1733</v>
      </c>
      <c r="C63" s="8">
        <v>1</v>
      </c>
      <c r="D63" s="9">
        <v>18.75</v>
      </c>
      <c r="E63" s="9">
        <v>59</v>
      </c>
      <c r="F63" s="8" t="s">
        <v>1732</v>
      </c>
      <c r="G63" s="7" t="s">
        <v>45</v>
      </c>
      <c r="H63" s="10" t="s">
        <v>403</v>
      </c>
      <c r="I63" s="9">
        <v>5.625</v>
      </c>
      <c r="J63" s="7" t="s">
        <v>475</v>
      </c>
      <c r="K63" s="7" t="s">
        <v>1731</v>
      </c>
      <c r="L63" s="11" t="str">
        <f>HYPERLINK("http://slimages.macys.com/is/image/MCY/15723108 ")</f>
        <v xml:space="preserve">http://slimages.macys.com/is/image/MCY/15723108 </v>
      </c>
    </row>
    <row r="64" spans="1:12" ht="60" x14ac:dyDescent="0.25">
      <c r="A64" s="10" t="s">
        <v>1734</v>
      </c>
      <c r="B64" s="7" t="s">
        <v>1733</v>
      </c>
      <c r="C64" s="8">
        <v>2</v>
      </c>
      <c r="D64" s="9">
        <v>18.75</v>
      </c>
      <c r="E64" s="9">
        <v>59</v>
      </c>
      <c r="F64" s="8" t="s">
        <v>1732</v>
      </c>
      <c r="G64" s="7" t="s">
        <v>45</v>
      </c>
      <c r="H64" s="10" t="s">
        <v>454</v>
      </c>
      <c r="I64" s="9">
        <v>5.625</v>
      </c>
      <c r="J64" s="7" t="s">
        <v>475</v>
      </c>
      <c r="K64" s="7" t="s">
        <v>1731</v>
      </c>
      <c r="L64" s="11" t="str">
        <f>HYPERLINK("http://slimages.macys.com/is/image/MCY/15723108 ")</f>
        <v xml:space="preserve">http://slimages.macys.com/is/image/MCY/15723108 </v>
      </c>
    </row>
    <row r="65" spans="1:12" ht="48" x14ac:dyDescent="0.25">
      <c r="A65" s="10" t="s">
        <v>1730</v>
      </c>
      <c r="B65" s="7" t="s">
        <v>1729</v>
      </c>
      <c r="C65" s="8">
        <v>1</v>
      </c>
      <c r="D65" s="9">
        <v>39.6</v>
      </c>
      <c r="E65" s="9">
        <v>99</v>
      </c>
      <c r="F65" s="8" t="s">
        <v>385</v>
      </c>
      <c r="G65" s="7" t="s">
        <v>114</v>
      </c>
      <c r="H65" s="10" t="s">
        <v>78</v>
      </c>
      <c r="I65" s="9">
        <v>11.88</v>
      </c>
      <c r="J65" s="7" t="s">
        <v>75</v>
      </c>
      <c r="K65" s="7" t="s">
        <v>46</v>
      </c>
      <c r="L65" s="11" t="str">
        <f>HYPERLINK("http://slimages.macys.com/is/image/MCY/15163651 ")</f>
        <v xml:space="preserve">http://slimages.macys.com/is/image/MCY/15163651 </v>
      </c>
    </row>
    <row r="66" spans="1:12" ht="48" x14ac:dyDescent="0.25">
      <c r="A66" s="10" t="s">
        <v>1728</v>
      </c>
      <c r="B66" s="7" t="s">
        <v>1726</v>
      </c>
      <c r="C66" s="8">
        <v>1</v>
      </c>
      <c r="D66" s="9">
        <v>61.2</v>
      </c>
      <c r="E66" s="9">
        <v>188</v>
      </c>
      <c r="F66" s="8" t="s">
        <v>1725</v>
      </c>
      <c r="G66" s="7" t="s">
        <v>114</v>
      </c>
      <c r="H66" s="10" t="s">
        <v>208</v>
      </c>
      <c r="I66" s="9">
        <v>18.36</v>
      </c>
      <c r="J66" s="7" t="s">
        <v>79</v>
      </c>
      <c r="K66" s="7" t="s">
        <v>72</v>
      </c>
      <c r="L66" s="11" t="str">
        <f>HYPERLINK("http://slimages.macys.com/is/image/MCY/14634236 ")</f>
        <v xml:space="preserve">http://slimages.macys.com/is/image/MCY/14634236 </v>
      </c>
    </row>
    <row r="67" spans="1:12" ht="48" x14ac:dyDescent="0.25">
      <c r="A67" s="10" t="s">
        <v>1727</v>
      </c>
      <c r="B67" s="7" t="s">
        <v>1726</v>
      </c>
      <c r="C67" s="8">
        <v>1</v>
      </c>
      <c r="D67" s="9">
        <v>61.2</v>
      </c>
      <c r="E67" s="9">
        <v>188</v>
      </c>
      <c r="F67" s="8" t="s">
        <v>1725</v>
      </c>
      <c r="G67" s="7" t="s">
        <v>114</v>
      </c>
      <c r="H67" s="10" t="s">
        <v>656</v>
      </c>
      <c r="I67" s="9">
        <v>18.36</v>
      </c>
      <c r="J67" s="7" t="s">
        <v>79</v>
      </c>
      <c r="K67" s="7" t="s">
        <v>72</v>
      </c>
      <c r="L67" s="11" t="str">
        <f>HYPERLINK("http://slimages.macys.com/is/image/MCY/14634236 ")</f>
        <v xml:space="preserve">http://slimages.macys.com/is/image/MCY/14634236 </v>
      </c>
    </row>
    <row r="68" spans="1:12" ht="48" x14ac:dyDescent="0.25">
      <c r="A68" s="10" t="s">
        <v>1724</v>
      </c>
      <c r="B68" s="7" t="s">
        <v>673</v>
      </c>
      <c r="C68" s="8">
        <v>1</v>
      </c>
      <c r="D68" s="9">
        <v>50.5</v>
      </c>
      <c r="E68" s="9">
        <v>129</v>
      </c>
      <c r="F68" s="8" t="s">
        <v>672</v>
      </c>
      <c r="G68" s="7" t="s">
        <v>37</v>
      </c>
      <c r="H68" s="10" t="s">
        <v>53</v>
      </c>
      <c r="I68" s="9">
        <v>15.15</v>
      </c>
      <c r="J68" s="7" t="s">
        <v>54</v>
      </c>
      <c r="K68" s="7" t="s">
        <v>64</v>
      </c>
      <c r="L68" s="11" t="str">
        <f>HYPERLINK("http://slimages.macys.com/is/image/MCY/14725022 ")</f>
        <v xml:space="preserve">http://slimages.macys.com/is/image/MCY/14725022 </v>
      </c>
    </row>
    <row r="69" spans="1:12" ht="48" x14ac:dyDescent="0.25">
      <c r="A69" s="10" t="s">
        <v>1723</v>
      </c>
      <c r="B69" s="7" t="s">
        <v>636</v>
      </c>
      <c r="C69" s="8">
        <v>1</v>
      </c>
      <c r="D69" s="9">
        <v>40</v>
      </c>
      <c r="E69" s="9">
        <v>89.98</v>
      </c>
      <c r="F69" s="8" t="s">
        <v>635</v>
      </c>
      <c r="G69" s="7" t="s">
        <v>27</v>
      </c>
      <c r="H69" s="10" t="s">
        <v>102</v>
      </c>
      <c r="I69" s="9">
        <v>12</v>
      </c>
      <c r="J69" s="7" t="s">
        <v>134</v>
      </c>
      <c r="K69" s="7" t="s">
        <v>219</v>
      </c>
      <c r="L69" s="11" t="str">
        <f>HYPERLINK("http://slimages.macys.com/is/image/MCY/11389294 ")</f>
        <v xml:space="preserve">http://slimages.macys.com/is/image/MCY/11389294 </v>
      </c>
    </row>
    <row r="70" spans="1:12" ht="48" x14ac:dyDescent="0.25">
      <c r="A70" s="10" t="s">
        <v>1722</v>
      </c>
      <c r="B70" s="7" t="s">
        <v>1721</v>
      </c>
      <c r="C70" s="8">
        <v>1</v>
      </c>
      <c r="D70" s="9">
        <v>101.58</v>
      </c>
      <c r="E70" s="9">
        <v>239</v>
      </c>
      <c r="F70" s="8" t="s">
        <v>1720</v>
      </c>
      <c r="G70" s="7" t="s">
        <v>184</v>
      </c>
      <c r="H70" s="10" t="s">
        <v>62</v>
      </c>
      <c r="I70" s="9">
        <v>30.474</v>
      </c>
      <c r="J70" s="7" t="s">
        <v>29</v>
      </c>
      <c r="K70" s="7" t="s">
        <v>46</v>
      </c>
      <c r="L70" s="11" t="str">
        <f>HYPERLINK("http://slimages.macys.com/is/image/MCY/14468820 ")</f>
        <v xml:space="preserve">http://slimages.macys.com/is/image/MCY/14468820 </v>
      </c>
    </row>
    <row r="71" spans="1:12" ht="48" x14ac:dyDescent="0.25">
      <c r="A71" s="10" t="s">
        <v>1719</v>
      </c>
      <c r="B71" s="7" t="s">
        <v>1718</v>
      </c>
      <c r="C71" s="8">
        <v>1</v>
      </c>
      <c r="D71" s="9">
        <v>118.58</v>
      </c>
      <c r="E71" s="9">
        <v>279</v>
      </c>
      <c r="F71" s="8" t="s">
        <v>1717</v>
      </c>
      <c r="G71" s="7" t="s">
        <v>60</v>
      </c>
      <c r="H71" s="10" t="s">
        <v>728</v>
      </c>
      <c r="I71" s="9">
        <v>35.573999999999998</v>
      </c>
      <c r="J71" s="7" t="s">
        <v>65</v>
      </c>
      <c r="K71" s="7" t="s">
        <v>46</v>
      </c>
      <c r="L71" s="11" t="str">
        <f>HYPERLINK("http://slimages.macys.com/is/image/MCY/14373836 ")</f>
        <v xml:space="preserve">http://slimages.macys.com/is/image/MCY/14373836 </v>
      </c>
    </row>
    <row r="72" spans="1:12" ht="48" x14ac:dyDescent="0.25">
      <c r="A72" s="10" t="s">
        <v>1716</v>
      </c>
      <c r="B72" s="7" t="s">
        <v>93</v>
      </c>
      <c r="C72" s="8">
        <v>1</v>
      </c>
      <c r="D72" s="9">
        <v>93.08</v>
      </c>
      <c r="E72" s="9">
        <v>219</v>
      </c>
      <c r="F72" s="8" t="s">
        <v>94</v>
      </c>
      <c r="G72" s="7" t="s">
        <v>95</v>
      </c>
      <c r="H72" s="10" t="s">
        <v>30</v>
      </c>
      <c r="I72" s="9">
        <v>27.923999999999999</v>
      </c>
      <c r="J72" s="7" t="s">
        <v>29</v>
      </c>
      <c r="K72" s="7" t="s">
        <v>52</v>
      </c>
      <c r="L72" s="11" t="str">
        <f>HYPERLINK("http://slimages.macys.com/is/image/MCY/15916716 ")</f>
        <v xml:space="preserve">http://slimages.macys.com/is/image/MCY/15916716 </v>
      </c>
    </row>
    <row r="73" spans="1:12" ht="48" x14ac:dyDescent="0.25">
      <c r="A73" s="10" t="s">
        <v>1715</v>
      </c>
      <c r="B73" s="7" t="s">
        <v>1714</v>
      </c>
      <c r="C73" s="8">
        <v>1</v>
      </c>
      <c r="D73" s="9">
        <v>156.83000000000001</v>
      </c>
      <c r="E73" s="9">
        <v>369</v>
      </c>
      <c r="F73" s="8" t="s">
        <v>1713</v>
      </c>
      <c r="G73" s="7" t="s">
        <v>37</v>
      </c>
      <c r="H73" s="10" t="s">
        <v>28</v>
      </c>
      <c r="I73" s="9">
        <v>47.048999999999999</v>
      </c>
      <c r="J73" s="7" t="s">
        <v>29</v>
      </c>
      <c r="K73" s="7" t="s">
        <v>46</v>
      </c>
      <c r="L73" s="11" t="str">
        <f>HYPERLINK("http://slimages.macys.com/is/image/MCY/14529602 ")</f>
        <v xml:space="preserve">http://slimages.macys.com/is/image/MCY/14529602 </v>
      </c>
    </row>
    <row r="74" spans="1:12" ht="48" x14ac:dyDescent="0.25">
      <c r="A74" s="10" t="s">
        <v>1712</v>
      </c>
      <c r="B74" s="7" t="s">
        <v>1711</v>
      </c>
      <c r="C74" s="8">
        <v>1</v>
      </c>
      <c r="D74" s="9">
        <v>110.08</v>
      </c>
      <c r="E74" s="9">
        <v>259</v>
      </c>
      <c r="F74" s="8" t="s">
        <v>1710</v>
      </c>
      <c r="G74" s="7" t="s">
        <v>24</v>
      </c>
      <c r="H74" s="10" t="s">
        <v>28</v>
      </c>
      <c r="I74" s="9">
        <v>33.024000000000001</v>
      </c>
      <c r="J74" s="7" t="s">
        <v>29</v>
      </c>
      <c r="K74" s="7" t="s">
        <v>46</v>
      </c>
      <c r="L74" s="11" t="str">
        <f>HYPERLINK("http://slimages.macys.com/is/image/MCY/14373264 ")</f>
        <v xml:space="preserve">http://slimages.macys.com/is/image/MCY/14373264 </v>
      </c>
    </row>
    <row r="75" spans="1:12" ht="60" x14ac:dyDescent="0.25">
      <c r="A75" s="10" t="s">
        <v>1709</v>
      </c>
      <c r="B75" s="7" t="s">
        <v>32</v>
      </c>
      <c r="C75" s="8">
        <v>1</v>
      </c>
      <c r="D75" s="9">
        <v>156.83000000000001</v>
      </c>
      <c r="E75" s="9">
        <v>369</v>
      </c>
      <c r="F75" s="8" t="s">
        <v>33</v>
      </c>
      <c r="G75" s="7" t="s">
        <v>34</v>
      </c>
      <c r="H75" s="10" t="s">
        <v>53</v>
      </c>
      <c r="I75" s="9">
        <v>47.048999999999999</v>
      </c>
      <c r="J75" s="7" t="s">
        <v>29</v>
      </c>
      <c r="K75" s="7" t="s">
        <v>36</v>
      </c>
      <c r="L75" s="11" t="str">
        <f>HYPERLINK("http://slimages.macys.com/is/image/MCY/15646320 ")</f>
        <v xml:space="preserve">http://slimages.macys.com/is/image/MCY/15646320 </v>
      </c>
    </row>
    <row r="76" spans="1:12" ht="84" x14ac:dyDescent="0.25">
      <c r="A76" s="10" t="s">
        <v>1708</v>
      </c>
      <c r="B76" s="7" t="s">
        <v>1707</v>
      </c>
      <c r="C76" s="8">
        <v>1</v>
      </c>
      <c r="D76" s="9">
        <v>135.58000000000001</v>
      </c>
      <c r="E76" s="9">
        <v>319</v>
      </c>
      <c r="F76" s="8" t="s">
        <v>1706</v>
      </c>
      <c r="G76" s="7"/>
      <c r="H76" s="10" t="s">
        <v>25</v>
      </c>
      <c r="I76" s="9">
        <v>40.673999999999999</v>
      </c>
      <c r="J76" s="7" t="s">
        <v>29</v>
      </c>
      <c r="K76" s="7" t="s">
        <v>1705</v>
      </c>
      <c r="L76" s="11" t="str">
        <f>HYPERLINK("http://slimages.macys.com/is/image/MCY/15646853 ")</f>
        <v xml:space="preserve">http://slimages.macys.com/is/image/MCY/15646853 </v>
      </c>
    </row>
    <row r="77" spans="1:12" ht="48" x14ac:dyDescent="0.25">
      <c r="A77" s="10" t="s">
        <v>1704</v>
      </c>
      <c r="B77" s="7" t="s">
        <v>1702</v>
      </c>
      <c r="C77" s="8">
        <v>1</v>
      </c>
      <c r="D77" s="9">
        <v>122.83</v>
      </c>
      <c r="E77" s="9">
        <v>289</v>
      </c>
      <c r="F77" s="8" t="s">
        <v>1701</v>
      </c>
      <c r="G77" s="7" t="s">
        <v>67</v>
      </c>
      <c r="H77" s="10" t="s">
        <v>25</v>
      </c>
      <c r="I77" s="9">
        <v>36.848999999999997</v>
      </c>
      <c r="J77" s="7" t="s">
        <v>29</v>
      </c>
      <c r="K77" s="7" t="s">
        <v>46</v>
      </c>
      <c r="L77" s="11" t="str">
        <f>HYPERLINK("http://slimages.macys.com/is/image/MCY/14715394 ")</f>
        <v xml:space="preserve">http://slimages.macys.com/is/image/MCY/14715394 </v>
      </c>
    </row>
    <row r="78" spans="1:12" ht="48" x14ac:dyDescent="0.25">
      <c r="A78" s="10" t="s">
        <v>1703</v>
      </c>
      <c r="B78" s="7" t="s">
        <v>1702</v>
      </c>
      <c r="C78" s="8">
        <v>1</v>
      </c>
      <c r="D78" s="9">
        <v>122.83</v>
      </c>
      <c r="E78" s="9">
        <v>289</v>
      </c>
      <c r="F78" s="8" t="s">
        <v>1701</v>
      </c>
      <c r="G78" s="7" t="s">
        <v>67</v>
      </c>
      <c r="H78" s="10" t="s">
        <v>31</v>
      </c>
      <c r="I78" s="9">
        <v>36.848999999999997</v>
      </c>
      <c r="J78" s="7" t="s">
        <v>29</v>
      </c>
      <c r="K78" s="7" t="s">
        <v>46</v>
      </c>
      <c r="L78" s="11" t="str">
        <f>HYPERLINK("http://slimages.macys.com/is/image/MCY/14715394 ")</f>
        <v xml:space="preserve">http://slimages.macys.com/is/image/MCY/14715394 </v>
      </c>
    </row>
    <row r="79" spans="1:12" ht="48" x14ac:dyDescent="0.25">
      <c r="A79" s="10" t="s">
        <v>1700</v>
      </c>
      <c r="B79" s="7" t="s">
        <v>741</v>
      </c>
      <c r="C79" s="8">
        <v>1</v>
      </c>
      <c r="D79" s="9">
        <v>110.08</v>
      </c>
      <c r="E79" s="9">
        <v>259</v>
      </c>
      <c r="F79" s="8" t="s">
        <v>740</v>
      </c>
      <c r="G79" s="7" t="s">
        <v>526</v>
      </c>
      <c r="H79" s="10" t="s">
        <v>30</v>
      </c>
      <c r="I79" s="9">
        <v>33.024000000000001</v>
      </c>
      <c r="J79" s="7" t="s">
        <v>29</v>
      </c>
      <c r="K79" s="7" t="s">
        <v>52</v>
      </c>
      <c r="L79" s="11" t="str">
        <f>HYPERLINK("http://slimages.macys.com/is/image/MCY/14906975 ")</f>
        <v xml:space="preserve">http://slimages.macys.com/is/image/MCY/14906975 </v>
      </c>
    </row>
    <row r="80" spans="1:12" ht="48" x14ac:dyDescent="0.25">
      <c r="A80" s="10" t="s">
        <v>1699</v>
      </c>
      <c r="B80" s="7" t="s">
        <v>69</v>
      </c>
      <c r="C80" s="8">
        <v>1</v>
      </c>
      <c r="D80" s="9">
        <v>105.83</v>
      </c>
      <c r="E80" s="9">
        <v>249</v>
      </c>
      <c r="F80" s="8" t="s">
        <v>70</v>
      </c>
      <c r="G80" s="7" t="s">
        <v>45</v>
      </c>
      <c r="H80" s="10" t="s">
        <v>30</v>
      </c>
      <c r="I80" s="9">
        <v>31.748999999999999</v>
      </c>
      <c r="J80" s="7" t="s">
        <v>29</v>
      </c>
      <c r="K80" s="7" t="s">
        <v>52</v>
      </c>
      <c r="L80" s="11" t="str">
        <f>HYPERLINK("http://slimages.macys.com/is/image/MCY/14816023 ")</f>
        <v xml:space="preserve">http://slimages.macys.com/is/image/MCY/14816023 </v>
      </c>
    </row>
    <row r="81" spans="1:12" ht="48" x14ac:dyDescent="0.25">
      <c r="A81" s="10" t="s">
        <v>1698</v>
      </c>
      <c r="B81" s="7" t="s">
        <v>69</v>
      </c>
      <c r="C81" s="8">
        <v>1</v>
      </c>
      <c r="D81" s="9">
        <v>105.83</v>
      </c>
      <c r="E81" s="9">
        <v>249</v>
      </c>
      <c r="F81" s="8" t="s">
        <v>70</v>
      </c>
      <c r="G81" s="7" t="s">
        <v>45</v>
      </c>
      <c r="H81" s="10" t="s">
        <v>57</v>
      </c>
      <c r="I81" s="9">
        <v>31.748999999999999</v>
      </c>
      <c r="J81" s="7" t="s">
        <v>29</v>
      </c>
      <c r="K81" s="7" t="s">
        <v>52</v>
      </c>
      <c r="L81" s="11" t="str">
        <f>HYPERLINK("http://slimages.macys.com/is/image/MCY/14816023 ")</f>
        <v xml:space="preserve">http://slimages.macys.com/is/image/MCY/14816023 </v>
      </c>
    </row>
    <row r="82" spans="1:12" ht="48" x14ac:dyDescent="0.25">
      <c r="A82" s="10" t="s">
        <v>1697</v>
      </c>
      <c r="B82" s="7" t="s">
        <v>1695</v>
      </c>
      <c r="C82" s="8">
        <v>1</v>
      </c>
      <c r="D82" s="9">
        <v>139.82</v>
      </c>
      <c r="E82" s="9">
        <v>329</v>
      </c>
      <c r="F82" s="8" t="s">
        <v>1694</v>
      </c>
      <c r="G82" s="7" t="s">
        <v>24</v>
      </c>
      <c r="H82" s="10" t="s">
        <v>30</v>
      </c>
      <c r="I82" s="9">
        <v>41.945999999999998</v>
      </c>
      <c r="J82" s="7" t="s">
        <v>29</v>
      </c>
      <c r="K82" s="7" t="s">
        <v>345</v>
      </c>
      <c r="L82" s="11" t="str">
        <f>HYPERLINK("http://slimages.macys.com/is/image/MCY/15708137 ")</f>
        <v xml:space="preserve">http://slimages.macys.com/is/image/MCY/15708137 </v>
      </c>
    </row>
    <row r="83" spans="1:12" ht="48" x14ac:dyDescent="0.25">
      <c r="A83" s="10" t="s">
        <v>1696</v>
      </c>
      <c r="B83" s="7" t="s">
        <v>1695</v>
      </c>
      <c r="C83" s="8">
        <v>1</v>
      </c>
      <c r="D83" s="9">
        <v>139.82</v>
      </c>
      <c r="E83" s="9">
        <v>329</v>
      </c>
      <c r="F83" s="8" t="s">
        <v>1694</v>
      </c>
      <c r="G83" s="7" t="s">
        <v>24</v>
      </c>
      <c r="H83" s="10" t="s">
        <v>28</v>
      </c>
      <c r="I83" s="9">
        <v>41.945999999999998</v>
      </c>
      <c r="J83" s="7" t="s">
        <v>29</v>
      </c>
      <c r="K83" s="7" t="s">
        <v>345</v>
      </c>
      <c r="L83" s="11" t="str">
        <f>HYPERLINK("http://slimages.macys.com/is/image/MCY/15708137 ")</f>
        <v xml:space="preserve">http://slimages.macys.com/is/image/MCY/15708137 </v>
      </c>
    </row>
    <row r="84" spans="1:12" ht="48" x14ac:dyDescent="0.25">
      <c r="A84" s="10" t="s">
        <v>1693</v>
      </c>
      <c r="B84" s="7" t="s">
        <v>1692</v>
      </c>
      <c r="C84" s="8">
        <v>1</v>
      </c>
      <c r="D84" s="9">
        <v>148.33000000000001</v>
      </c>
      <c r="E84" s="9">
        <v>349</v>
      </c>
      <c r="F84" s="8" t="s">
        <v>1691</v>
      </c>
      <c r="G84" s="7"/>
      <c r="H84" s="10" t="s">
        <v>25</v>
      </c>
      <c r="I84" s="9">
        <v>44.499000000000002</v>
      </c>
      <c r="J84" s="7" t="s">
        <v>29</v>
      </c>
      <c r="K84" s="7" t="s">
        <v>345</v>
      </c>
      <c r="L84" s="11" t="str">
        <f>HYPERLINK("http://slimages.macys.com/is/image/MCY/15202895 ")</f>
        <v xml:space="preserve">http://slimages.macys.com/is/image/MCY/15202895 </v>
      </c>
    </row>
    <row r="85" spans="1:12" ht="48" x14ac:dyDescent="0.25">
      <c r="A85" s="10" t="s">
        <v>1690</v>
      </c>
      <c r="B85" s="7" t="s">
        <v>1689</v>
      </c>
      <c r="C85" s="8">
        <v>1</v>
      </c>
      <c r="D85" s="9">
        <v>25.5</v>
      </c>
      <c r="E85" s="9">
        <v>79</v>
      </c>
      <c r="F85" s="8">
        <v>701772</v>
      </c>
      <c r="G85" s="7" t="s">
        <v>27</v>
      </c>
      <c r="H85" s="10" t="s">
        <v>480</v>
      </c>
      <c r="I85" s="9">
        <v>7.65</v>
      </c>
      <c r="J85" s="7" t="s">
        <v>382</v>
      </c>
      <c r="K85" s="7" t="s">
        <v>72</v>
      </c>
      <c r="L85" s="11" t="str">
        <f>HYPERLINK("http://slimages.macys.com/is/image/MCY/15572811 ")</f>
        <v xml:space="preserve">http://slimages.macys.com/is/image/MCY/15572811 </v>
      </c>
    </row>
    <row r="86" spans="1:12" ht="48" x14ac:dyDescent="0.25">
      <c r="A86" s="10" t="s">
        <v>694</v>
      </c>
      <c r="B86" s="7" t="s">
        <v>691</v>
      </c>
      <c r="C86" s="8">
        <v>2</v>
      </c>
      <c r="D86" s="9">
        <v>53</v>
      </c>
      <c r="E86" s="9">
        <v>139</v>
      </c>
      <c r="F86" s="8" t="s">
        <v>690</v>
      </c>
      <c r="G86" s="7" t="s">
        <v>24</v>
      </c>
      <c r="H86" s="10" t="s">
        <v>57</v>
      </c>
      <c r="I86" s="9">
        <v>15.9</v>
      </c>
      <c r="J86" s="7" t="s">
        <v>237</v>
      </c>
      <c r="K86" s="7" t="s">
        <v>61</v>
      </c>
      <c r="L86" s="11" t="str">
        <f>HYPERLINK("http://slimages.macys.com/is/image/MCY/15690666 ")</f>
        <v xml:space="preserve">http://slimages.macys.com/is/image/MCY/15690666 </v>
      </c>
    </row>
    <row r="87" spans="1:12" ht="48" x14ac:dyDescent="0.25">
      <c r="A87" s="10" t="s">
        <v>693</v>
      </c>
      <c r="B87" s="7" t="s">
        <v>691</v>
      </c>
      <c r="C87" s="8">
        <v>2</v>
      </c>
      <c r="D87" s="9">
        <v>53</v>
      </c>
      <c r="E87" s="9">
        <v>139</v>
      </c>
      <c r="F87" s="8" t="s">
        <v>690</v>
      </c>
      <c r="G87" s="7" t="s">
        <v>24</v>
      </c>
      <c r="H87" s="10" t="s">
        <v>28</v>
      </c>
      <c r="I87" s="9">
        <v>15.9</v>
      </c>
      <c r="J87" s="7" t="s">
        <v>237</v>
      </c>
      <c r="K87" s="7" t="s">
        <v>61</v>
      </c>
      <c r="L87" s="11" t="str">
        <f>HYPERLINK("http://slimages.macys.com/is/image/MCY/15690666 ")</f>
        <v xml:space="preserve">http://slimages.macys.com/is/image/MCY/15690666 </v>
      </c>
    </row>
    <row r="88" spans="1:12" ht="48" x14ac:dyDescent="0.25">
      <c r="A88" s="10" t="s">
        <v>1688</v>
      </c>
      <c r="B88" s="7" t="s">
        <v>379</v>
      </c>
      <c r="C88" s="8">
        <v>1</v>
      </c>
      <c r="D88" s="9">
        <v>40</v>
      </c>
      <c r="E88" s="9">
        <v>89.98</v>
      </c>
      <c r="F88" s="8" t="s">
        <v>380</v>
      </c>
      <c r="G88" s="7" t="s">
        <v>27</v>
      </c>
      <c r="H88" s="10" t="s">
        <v>40</v>
      </c>
      <c r="I88" s="9">
        <v>12</v>
      </c>
      <c r="J88" s="7" t="s">
        <v>134</v>
      </c>
      <c r="K88" s="7" t="s">
        <v>219</v>
      </c>
      <c r="L88" s="11" t="str">
        <f>HYPERLINK("http://slimages.macys.com/is/image/MCY/8665293 ")</f>
        <v xml:space="preserve">http://slimages.macys.com/is/image/MCY/8665293 </v>
      </c>
    </row>
    <row r="89" spans="1:12" ht="48" x14ac:dyDescent="0.25">
      <c r="A89" s="10" t="s">
        <v>1687</v>
      </c>
      <c r="B89" s="7" t="s">
        <v>1686</v>
      </c>
      <c r="C89" s="8">
        <v>1</v>
      </c>
      <c r="D89" s="9">
        <v>53</v>
      </c>
      <c r="E89" s="9">
        <v>134</v>
      </c>
      <c r="F89" s="8" t="s">
        <v>1685</v>
      </c>
      <c r="G89" s="7" t="s">
        <v>114</v>
      </c>
      <c r="H89" s="10" t="s">
        <v>25</v>
      </c>
      <c r="I89" s="9">
        <v>15.9</v>
      </c>
      <c r="J89" s="7" t="s">
        <v>237</v>
      </c>
      <c r="K89" s="7" t="s">
        <v>219</v>
      </c>
      <c r="L89" s="11" t="str">
        <f>HYPERLINK("http://slimages.macys.com/is/image/MCY/9866289 ")</f>
        <v xml:space="preserve">http://slimages.macys.com/is/image/MCY/9866289 </v>
      </c>
    </row>
    <row r="90" spans="1:12" ht="48" x14ac:dyDescent="0.25">
      <c r="A90" s="10" t="s">
        <v>1684</v>
      </c>
      <c r="B90" s="7" t="s">
        <v>713</v>
      </c>
      <c r="C90" s="8">
        <v>1</v>
      </c>
      <c r="D90" s="9">
        <v>59.6</v>
      </c>
      <c r="E90" s="9">
        <v>149</v>
      </c>
      <c r="F90" s="8" t="s">
        <v>712</v>
      </c>
      <c r="G90" s="7" t="s">
        <v>27</v>
      </c>
      <c r="H90" s="10" t="s">
        <v>185</v>
      </c>
      <c r="I90" s="9">
        <v>17.88</v>
      </c>
      <c r="J90" s="7" t="s">
        <v>187</v>
      </c>
      <c r="K90" s="7" t="s">
        <v>219</v>
      </c>
      <c r="L90" s="11" t="str">
        <f>HYPERLINK("http://slimages.macys.com/is/image/MCY/15394806 ")</f>
        <v xml:space="preserve">http://slimages.macys.com/is/image/MCY/15394806 </v>
      </c>
    </row>
    <row r="91" spans="1:12" ht="48" x14ac:dyDescent="0.25">
      <c r="A91" s="10" t="s">
        <v>1683</v>
      </c>
      <c r="B91" s="7" t="s">
        <v>418</v>
      </c>
      <c r="C91" s="8">
        <v>1</v>
      </c>
      <c r="D91" s="9">
        <v>34.65</v>
      </c>
      <c r="E91" s="9">
        <v>99</v>
      </c>
      <c r="F91" s="8" t="s">
        <v>763</v>
      </c>
      <c r="G91" s="7" t="s">
        <v>27</v>
      </c>
      <c r="H91" s="10" t="s">
        <v>31</v>
      </c>
      <c r="I91" s="9">
        <v>10.395</v>
      </c>
      <c r="J91" s="7" t="s">
        <v>183</v>
      </c>
      <c r="K91" s="7" t="s">
        <v>219</v>
      </c>
      <c r="L91" s="11" t="str">
        <f>HYPERLINK("http://slimages.macys.com/is/image/MCY/14657609 ")</f>
        <v xml:space="preserve">http://slimages.macys.com/is/image/MCY/14657609 </v>
      </c>
    </row>
    <row r="92" spans="1:12" ht="48" x14ac:dyDescent="0.25">
      <c r="A92" s="10" t="s">
        <v>1682</v>
      </c>
      <c r="B92" s="7" t="s">
        <v>418</v>
      </c>
      <c r="C92" s="8">
        <v>1</v>
      </c>
      <c r="D92" s="9">
        <v>33.61</v>
      </c>
      <c r="E92" s="9">
        <v>119</v>
      </c>
      <c r="F92" s="8" t="s">
        <v>357</v>
      </c>
      <c r="G92" s="7" t="s">
        <v>88</v>
      </c>
      <c r="H92" s="10" t="s">
        <v>57</v>
      </c>
      <c r="I92" s="9">
        <v>10.083</v>
      </c>
      <c r="J92" s="7" t="s">
        <v>183</v>
      </c>
      <c r="K92" s="7" t="s">
        <v>219</v>
      </c>
      <c r="L92" s="11" t="str">
        <f>HYPERLINK("http://slimages.macys.com/is/image/MCY/10040568 ")</f>
        <v xml:space="preserve">http://slimages.macys.com/is/image/MCY/10040568 </v>
      </c>
    </row>
    <row r="93" spans="1:12" ht="48" x14ac:dyDescent="0.25">
      <c r="A93" s="10" t="s">
        <v>1681</v>
      </c>
      <c r="B93" s="7" t="s">
        <v>418</v>
      </c>
      <c r="C93" s="8">
        <v>1</v>
      </c>
      <c r="D93" s="9">
        <v>33.61</v>
      </c>
      <c r="E93" s="9">
        <v>119</v>
      </c>
      <c r="F93" s="8" t="s">
        <v>357</v>
      </c>
      <c r="G93" s="7" t="s">
        <v>88</v>
      </c>
      <c r="H93" s="10" t="s">
        <v>30</v>
      </c>
      <c r="I93" s="9">
        <v>10.083</v>
      </c>
      <c r="J93" s="7" t="s">
        <v>183</v>
      </c>
      <c r="K93" s="7" t="s">
        <v>219</v>
      </c>
      <c r="L93" s="11" t="str">
        <f>HYPERLINK("http://slimages.macys.com/is/image/MCY/10040568 ")</f>
        <v xml:space="preserve">http://slimages.macys.com/is/image/MCY/10040568 </v>
      </c>
    </row>
    <row r="94" spans="1:12" ht="48" x14ac:dyDescent="0.25">
      <c r="A94" s="10" t="s">
        <v>1680</v>
      </c>
      <c r="B94" s="7" t="s">
        <v>418</v>
      </c>
      <c r="C94" s="8">
        <v>1</v>
      </c>
      <c r="D94" s="9">
        <v>33.61</v>
      </c>
      <c r="E94" s="9">
        <v>119</v>
      </c>
      <c r="F94" s="8" t="s">
        <v>357</v>
      </c>
      <c r="G94" s="7" t="s">
        <v>88</v>
      </c>
      <c r="H94" s="10" t="s">
        <v>35</v>
      </c>
      <c r="I94" s="9">
        <v>10.083</v>
      </c>
      <c r="J94" s="7" t="s">
        <v>183</v>
      </c>
      <c r="K94" s="7" t="s">
        <v>219</v>
      </c>
      <c r="L94" s="11" t="str">
        <f>HYPERLINK("http://slimages.macys.com/is/image/MCY/10040568 ")</f>
        <v xml:space="preserve">http://slimages.macys.com/is/image/MCY/10040568 </v>
      </c>
    </row>
    <row r="95" spans="1:12" ht="60" x14ac:dyDescent="0.25">
      <c r="A95" s="10" t="s">
        <v>1679</v>
      </c>
      <c r="B95" s="7" t="s">
        <v>516</v>
      </c>
      <c r="C95" s="8">
        <v>1</v>
      </c>
      <c r="D95" s="9">
        <v>18.5</v>
      </c>
      <c r="E95" s="9">
        <v>59</v>
      </c>
      <c r="F95" s="8" t="s">
        <v>517</v>
      </c>
      <c r="G95" s="7" t="s">
        <v>131</v>
      </c>
      <c r="H95" s="10" t="s">
        <v>442</v>
      </c>
      <c r="I95" s="9">
        <v>5.55</v>
      </c>
      <c r="J95" s="7" t="s">
        <v>382</v>
      </c>
      <c r="K95" s="7" t="s">
        <v>36</v>
      </c>
      <c r="L95" s="11" t="str">
        <f>HYPERLINK("http://slimages.macys.com/is/image/MCY/14996367 ")</f>
        <v xml:space="preserve">http://slimages.macys.com/is/image/MCY/14996367 </v>
      </c>
    </row>
    <row r="96" spans="1:12" ht="60" x14ac:dyDescent="0.25">
      <c r="A96" s="10" t="s">
        <v>1678</v>
      </c>
      <c r="B96" s="7" t="s">
        <v>516</v>
      </c>
      <c r="C96" s="8">
        <v>1</v>
      </c>
      <c r="D96" s="9">
        <v>18.5</v>
      </c>
      <c r="E96" s="9">
        <v>59</v>
      </c>
      <c r="F96" s="8" t="s">
        <v>517</v>
      </c>
      <c r="G96" s="7" t="s">
        <v>131</v>
      </c>
      <c r="H96" s="10" t="s">
        <v>454</v>
      </c>
      <c r="I96" s="9">
        <v>5.55</v>
      </c>
      <c r="J96" s="7" t="s">
        <v>382</v>
      </c>
      <c r="K96" s="7" t="s">
        <v>36</v>
      </c>
      <c r="L96" s="11" t="str">
        <f>HYPERLINK("http://slimages.macys.com/is/image/MCY/14996367 ")</f>
        <v xml:space="preserve">http://slimages.macys.com/is/image/MCY/14996367 </v>
      </c>
    </row>
    <row r="97" spans="1:12" ht="60" x14ac:dyDescent="0.25">
      <c r="A97" s="10" t="s">
        <v>407</v>
      </c>
      <c r="B97" s="7" t="s">
        <v>408</v>
      </c>
      <c r="C97" s="8">
        <v>1</v>
      </c>
      <c r="D97" s="9">
        <v>35.6</v>
      </c>
      <c r="E97" s="9">
        <v>89</v>
      </c>
      <c r="F97" s="8">
        <v>10733428</v>
      </c>
      <c r="G97" s="7" t="s">
        <v>27</v>
      </c>
      <c r="H97" s="10" t="s">
        <v>28</v>
      </c>
      <c r="I97" s="9">
        <v>10.68</v>
      </c>
      <c r="J97" s="7" t="s">
        <v>182</v>
      </c>
      <c r="K97" s="7" t="s">
        <v>36</v>
      </c>
      <c r="L97" s="11" t="str">
        <f>HYPERLINK("http://slimages.macys.com/is/image/MCY/14352381 ")</f>
        <v xml:space="preserve">http://slimages.macys.com/is/image/MCY/14352381 </v>
      </c>
    </row>
    <row r="98" spans="1:12" ht="48" x14ac:dyDescent="0.25">
      <c r="A98" s="10" t="s">
        <v>1677</v>
      </c>
      <c r="B98" s="7" t="s">
        <v>426</v>
      </c>
      <c r="C98" s="8">
        <v>1</v>
      </c>
      <c r="D98" s="9">
        <v>32</v>
      </c>
      <c r="E98" s="9">
        <v>108</v>
      </c>
      <c r="F98" s="8" t="s">
        <v>427</v>
      </c>
      <c r="G98" s="7" t="s">
        <v>147</v>
      </c>
      <c r="H98" s="10" t="s">
        <v>30</v>
      </c>
      <c r="I98" s="9">
        <v>9.6</v>
      </c>
      <c r="J98" s="7" t="s">
        <v>79</v>
      </c>
      <c r="K98" s="7" t="s">
        <v>46</v>
      </c>
      <c r="L98" s="11" t="str">
        <f>HYPERLINK("http://slimages.macys.com/is/image/MCY/15651502 ")</f>
        <v xml:space="preserve">http://slimages.macys.com/is/image/MCY/15651502 </v>
      </c>
    </row>
    <row r="99" spans="1:12" ht="48" x14ac:dyDescent="0.25">
      <c r="A99" s="10" t="s">
        <v>432</v>
      </c>
      <c r="B99" s="7" t="s">
        <v>426</v>
      </c>
      <c r="C99" s="8">
        <v>1</v>
      </c>
      <c r="D99" s="9">
        <v>32</v>
      </c>
      <c r="E99" s="9">
        <v>108</v>
      </c>
      <c r="F99" s="8" t="s">
        <v>427</v>
      </c>
      <c r="G99" s="7" t="s">
        <v>147</v>
      </c>
      <c r="H99" s="10" t="s">
        <v>28</v>
      </c>
      <c r="I99" s="9">
        <v>9.6</v>
      </c>
      <c r="J99" s="7" t="s">
        <v>79</v>
      </c>
      <c r="K99" s="7" t="s">
        <v>46</v>
      </c>
      <c r="L99" s="11" t="str">
        <f>HYPERLINK("http://slimages.macys.com/is/image/MCY/15651502 ")</f>
        <v xml:space="preserve">http://slimages.macys.com/is/image/MCY/15651502 </v>
      </c>
    </row>
    <row r="100" spans="1:12" ht="48" x14ac:dyDescent="0.25">
      <c r="A100" s="10" t="s">
        <v>425</v>
      </c>
      <c r="B100" s="7" t="s">
        <v>426</v>
      </c>
      <c r="C100" s="8">
        <v>2</v>
      </c>
      <c r="D100" s="9">
        <v>32</v>
      </c>
      <c r="E100" s="9">
        <v>108</v>
      </c>
      <c r="F100" s="8" t="s">
        <v>427</v>
      </c>
      <c r="G100" s="7" t="s">
        <v>147</v>
      </c>
      <c r="H100" s="10" t="s">
        <v>89</v>
      </c>
      <c r="I100" s="9">
        <v>9.6</v>
      </c>
      <c r="J100" s="7" t="s">
        <v>79</v>
      </c>
      <c r="K100" s="7" t="s">
        <v>46</v>
      </c>
      <c r="L100" s="11" t="str">
        <f>HYPERLINK("http://slimages.macys.com/is/image/MCY/15651502 ")</f>
        <v xml:space="preserve">http://slimages.macys.com/is/image/MCY/15651502 </v>
      </c>
    </row>
    <row r="101" spans="1:12" ht="48" x14ac:dyDescent="0.25">
      <c r="A101" s="10" t="s">
        <v>1676</v>
      </c>
      <c r="B101" s="7" t="s">
        <v>426</v>
      </c>
      <c r="C101" s="8">
        <v>1</v>
      </c>
      <c r="D101" s="9">
        <v>32</v>
      </c>
      <c r="E101" s="9">
        <v>108</v>
      </c>
      <c r="F101" s="8" t="s">
        <v>427</v>
      </c>
      <c r="G101" s="7" t="s">
        <v>147</v>
      </c>
      <c r="H101" s="10" t="s">
        <v>25</v>
      </c>
      <c r="I101" s="9">
        <v>9.6</v>
      </c>
      <c r="J101" s="7" t="s">
        <v>79</v>
      </c>
      <c r="K101" s="7" t="s">
        <v>46</v>
      </c>
      <c r="L101" s="11" t="str">
        <f>HYPERLINK("http://slimages.macys.com/is/image/MCY/15651502 ")</f>
        <v xml:space="preserve">http://slimages.macys.com/is/image/MCY/15651502 </v>
      </c>
    </row>
    <row r="102" spans="1:12" ht="48" x14ac:dyDescent="0.25">
      <c r="A102" s="10" t="s">
        <v>428</v>
      </c>
      <c r="B102" s="7" t="s">
        <v>426</v>
      </c>
      <c r="C102" s="8">
        <v>1</v>
      </c>
      <c r="D102" s="9">
        <v>32</v>
      </c>
      <c r="E102" s="9">
        <v>108</v>
      </c>
      <c r="F102" s="8" t="s">
        <v>427</v>
      </c>
      <c r="G102" s="7" t="s">
        <v>147</v>
      </c>
      <c r="H102" s="10" t="s">
        <v>57</v>
      </c>
      <c r="I102" s="9">
        <v>9.6</v>
      </c>
      <c r="J102" s="7" t="s">
        <v>79</v>
      </c>
      <c r="K102" s="7" t="s">
        <v>46</v>
      </c>
      <c r="L102" s="11" t="str">
        <f>HYPERLINK("http://slimages.macys.com/is/image/MCY/15651502 ")</f>
        <v xml:space="preserve">http://slimages.macys.com/is/image/MCY/15651502 </v>
      </c>
    </row>
    <row r="103" spans="1:12" ht="24" x14ac:dyDescent="0.25">
      <c r="A103" s="10" t="s">
        <v>1675</v>
      </c>
      <c r="B103" s="7" t="s">
        <v>1674</v>
      </c>
      <c r="C103" s="8">
        <v>2</v>
      </c>
      <c r="D103" s="9">
        <v>79.75</v>
      </c>
      <c r="E103" s="9">
        <v>199</v>
      </c>
      <c r="F103" s="8" t="s">
        <v>1673</v>
      </c>
      <c r="G103" s="7" t="s">
        <v>56</v>
      </c>
      <c r="H103" s="10" t="s">
        <v>25</v>
      </c>
      <c r="I103" s="9">
        <v>23.925000000000001</v>
      </c>
      <c r="J103" s="7" t="s">
        <v>43</v>
      </c>
      <c r="K103" s="7"/>
      <c r="L103" s="11"/>
    </row>
    <row r="104" spans="1:12" ht="48" x14ac:dyDescent="0.25">
      <c r="A104" s="10" t="s">
        <v>1672</v>
      </c>
      <c r="B104" s="7" t="s">
        <v>696</v>
      </c>
      <c r="C104" s="8">
        <v>1</v>
      </c>
      <c r="D104" s="9">
        <v>53</v>
      </c>
      <c r="E104" s="9">
        <v>134</v>
      </c>
      <c r="F104" s="8" t="s">
        <v>695</v>
      </c>
      <c r="G104" s="7" t="s">
        <v>45</v>
      </c>
      <c r="H104" s="10" t="s">
        <v>30</v>
      </c>
      <c r="I104" s="9">
        <v>15.9</v>
      </c>
      <c r="J104" s="7" t="s">
        <v>237</v>
      </c>
      <c r="K104" s="7" t="s">
        <v>219</v>
      </c>
      <c r="L104" s="11" t="str">
        <f>HYPERLINK("http://slimages.macys.com/is/image/MCY/15390383 ")</f>
        <v xml:space="preserve">http://slimages.macys.com/is/image/MCY/15390383 </v>
      </c>
    </row>
    <row r="105" spans="1:12" ht="60" x14ac:dyDescent="0.25">
      <c r="A105" s="10" t="s">
        <v>1671</v>
      </c>
      <c r="B105" s="7" t="s">
        <v>192</v>
      </c>
      <c r="C105" s="8">
        <v>1</v>
      </c>
      <c r="D105" s="9">
        <v>66</v>
      </c>
      <c r="E105" s="9">
        <v>169</v>
      </c>
      <c r="F105" s="8" t="s">
        <v>193</v>
      </c>
      <c r="G105" s="7" t="s">
        <v>88</v>
      </c>
      <c r="H105" s="10" t="s">
        <v>35</v>
      </c>
      <c r="I105" s="9">
        <v>19.8</v>
      </c>
      <c r="J105" s="7" t="s">
        <v>43</v>
      </c>
      <c r="K105" s="7" t="s">
        <v>36</v>
      </c>
      <c r="L105" s="11" t="str">
        <f>HYPERLINK("http://slimages.macys.com/is/image/MCY/15935602 ")</f>
        <v xml:space="preserve">http://slimages.macys.com/is/image/MCY/15935602 </v>
      </c>
    </row>
    <row r="106" spans="1:12" ht="48" x14ac:dyDescent="0.25">
      <c r="A106" s="10" t="s">
        <v>1670</v>
      </c>
      <c r="B106" s="7" t="s">
        <v>1669</v>
      </c>
      <c r="C106" s="8">
        <v>1</v>
      </c>
      <c r="D106" s="9">
        <v>23</v>
      </c>
      <c r="E106" s="9">
        <v>69</v>
      </c>
      <c r="F106" s="8" t="s">
        <v>1668</v>
      </c>
      <c r="G106" s="7" t="s">
        <v>331</v>
      </c>
      <c r="H106" s="10" t="s">
        <v>285</v>
      </c>
      <c r="I106" s="9">
        <v>6.9</v>
      </c>
      <c r="J106" s="7" t="s">
        <v>382</v>
      </c>
      <c r="K106" s="7" t="s">
        <v>72</v>
      </c>
      <c r="L106" s="11" t="str">
        <f>HYPERLINK("http://slimages.macys.com/is/image/MCY/15632245 ")</f>
        <v xml:space="preserve">http://slimages.macys.com/is/image/MCY/15632245 </v>
      </c>
    </row>
    <row r="107" spans="1:12" ht="48" x14ac:dyDescent="0.25">
      <c r="A107" s="10" t="s">
        <v>1667</v>
      </c>
      <c r="B107" s="7" t="s">
        <v>1666</v>
      </c>
      <c r="C107" s="8">
        <v>1</v>
      </c>
      <c r="D107" s="9">
        <v>15</v>
      </c>
      <c r="E107" s="9">
        <v>38.99</v>
      </c>
      <c r="F107" s="8" t="s">
        <v>1665</v>
      </c>
      <c r="G107" s="7" t="s">
        <v>27</v>
      </c>
      <c r="H107" s="10"/>
      <c r="I107" s="9">
        <v>4.5</v>
      </c>
      <c r="J107" s="7" t="s">
        <v>496</v>
      </c>
      <c r="K107" s="7" t="s">
        <v>219</v>
      </c>
      <c r="L107" s="11" t="str">
        <f>HYPERLINK("http://slimages.macys.com/is/image/MCY/14397527 ")</f>
        <v xml:space="preserve">http://slimages.macys.com/is/image/MCY/14397527 </v>
      </c>
    </row>
    <row r="108" spans="1:12" ht="72" x14ac:dyDescent="0.25">
      <c r="A108" s="10" t="s">
        <v>1664</v>
      </c>
      <c r="B108" s="7" t="s">
        <v>1663</v>
      </c>
      <c r="C108" s="8">
        <v>1</v>
      </c>
      <c r="D108" s="9">
        <v>55.6</v>
      </c>
      <c r="E108" s="9">
        <v>139</v>
      </c>
      <c r="F108" s="8" t="s">
        <v>1662</v>
      </c>
      <c r="G108" s="7" t="s">
        <v>27</v>
      </c>
      <c r="H108" s="10" t="s">
        <v>53</v>
      </c>
      <c r="I108" s="9">
        <v>16.68</v>
      </c>
      <c r="J108" s="7" t="s">
        <v>183</v>
      </c>
      <c r="K108" s="7" t="s">
        <v>1661</v>
      </c>
      <c r="L108" s="11" t="str">
        <f>HYPERLINK("http://slimages.macys.com/is/image/MCY/15354166 ")</f>
        <v xml:space="preserve">http://slimages.macys.com/is/image/MCY/15354166 </v>
      </c>
    </row>
    <row r="109" spans="1:12" ht="60" x14ac:dyDescent="0.25">
      <c r="A109" s="10" t="s">
        <v>1660</v>
      </c>
      <c r="B109" s="7" t="s">
        <v>1659</v>
      </c>
      <c r="C109" s="8">
        <v>1</v>
      </c>
      <c r="D109" s="9">
        <v>84.58</v>
      </c>
      <c r="E109" s="9">
        <v>199</v>
      </c>
      <c r="F109" s="8" t="s">
        <v>1658</v>
      </c>
      <c r="G109" s="7" t="s">
        <v>211</v>
      </c>
      <c r="H109" s="10" t="s">
        <v>28</v>
      </c>
      <c r="I109" s="9">
        <v>25.373999999999999</v>
      </c>
      <c r="J109" s="7" t="s">
        <v>118</v>
      </c>
      <c r="K109" s="7" t="s">
        <v>123</v>
      </c>
      <c r="L109" s="11" t="str">
        <f>HYPERLINK("http://slimages.macys.com/is/image/MCY/14517422 ")</f>
        <v xml:space="preserve">http://slimages.macys.com/is/image/MCY/14517422 </v>
      </c>
    </row>
    <row r="110" spans="1:12" ht="120" x14ac:dyDescent="0.25">
      <c r="A110" s="10" t="s">
        <v>1657</v>
      </c>
      <c r="B110" s="7" t="s">
        <v>1654</v>
      </c>
      <c r="C110" s="8">
        <v>1</v>
      </c>
      <c r="D110" s="9">
        <v>69.3</v>
      </c>
      <c r="E110" s="9">
        <v>165</v>
      </c>
      <c r="F110" s="8">
        <v>250778138001</v>
      </c>
      <c r="G110" s="7" t="s">
        <v>27</v>
      </c>
      <c r="H110" s="10" t="s">
        <v>57</v>
      </c>
      <c r="I110" s="9">
        <v>20.79</v>
      </c>
      <c r="J110" s="7" t="s">
        <v>137</v>
      </c>
      <c r="K110" s="7" t="s">
        <v>1653</v>
      </c>
      <c r="L110" s="11" t="str">
        <f>HYPERLINK("http://slimages.macys.com/is/image/MCY/15158281 ")</f>
        <v xml:space="preserve">http://slimages.macys.com/is/image/MCY/15158281 </v>
      </c>
    </row>
    <row r="111" spans="1:12" ht="120" x14ac:dyDescent="0.25">
      <c r="A111" s="10" t="s">
        <v>1656</v>
      </c>
      <c r="B111" s="7" t="s">
        <v>1654</v>
      </c>
      <c r="C111" s="8">
        <v>1</v>
      </c>
      <c r="D111" s="9">
        <v>69.3</v>
      </c>
      <c r="E111" s="9">
        <v>165</v>
      </c>
      <c r="F111" s="8">
        <v>250778138001</v>
      </c>
      <c r="G111" s="7" t="s">
        <v>27</v>
      </c>
      <c r="H111" s="10" t="s">
        <v>89</v>
      </c>
      <c r="I111" s="9">
        <v>20.79</v>
      </c>
      <c r="J111" s="7" t="s">
        <v>137</v>
      </c>
      <c r="K111" s="7" t="s">
        <v>1653</v>
      </c>
      <c r="L111" s="11" t="str">
        <f>HYPERLINK("http://slimages.macys.com/is/image/MCY/15158281 ")</f>
        <v xml:space="preserve">http://slimages.macys.com/is/image/MCY/15158281 </v>
      </c>
    </row>
    <row r="112" spans="1:12" ht="120" x14ac:dyDescent="0.25">
      <c r="A112" s="10" t="s">
        <v>1655</v>
      </c>
      <c r="B112" s="7" t="s">
        <v>1654</v>
      </c>
      <c r="C112" s="8">
        <v>1</v>
      </c>
      <c r="D112" s="9">
        <v>69.3</v>
      </c>
      <c r="E112" s="9">
        <v>165</v>
      </c>
      <c r="F112" s="8">
        <v>250778138001</v>
      </c>
      <c r="G112" s="7" t="s">
        <v>27</v>
      </c>
      <c r="H112" s="10" t="s">
        <v>62</v>
      </c>
      <c r="I112" s="9">
        <v>20.79</v>
      </c>
      <c r="J112" s="7" t="s">
        <v>137</v>
      </c>
      <c r="K112" s="7" t="s">
        <v>1653</v>
      </c>
      <c r="L112" s="11" t="str">
        <f>HYPERLINK("http://slimages.macys.com/is/image/MCY/15158281 ")</f>
        <v xml:space="preserve">http://slimages.macys.com/is/image/MCY/15158281 </v>
      </c>
    </row>
    <row r="113" spans="1:12" ht="48" x14ac:dyDescent="0.25">
      <c r="A113" s="10" t="s">
        <v>1652</v>
      </c>
      <c r="B113" s="7" t="s">
        <v>1651</v>
      </c>
      <c r="C113" s="8">
        <v>1</v>
      </c>
      <c r="D113" s="9">
        <v>39.380000000000003</v>
      </c>
      <c r="E113" s="9">
        <v>125</v>
      </c>
      <c r="F113" s="8">
        <v>250738763001</v>
      </c>
      <c r="G113" s="7" t="s">
        <v>27</v>
      </c>
      <c r="H113" s="10" t="s">
        <v>57</v>
      </c>
      <c r="I113" s="9">
        <v>11.814</v>
      </c>
      <c r="J113" s="7" t="s">
        <v>137</v>
      </c>
      <c r="K113" s="7" t="s">
        <v>1650</v>
      </c>
      <c r="L113" s="11" t="str">
        <f>HYPERLINK("http://slimages.macys.com/is/image/MCY/11232858 ")</f>
        <v xml:space="preserve">http://slimages.macys.com/is/image/MCY/11232858 </v>
      </c>
    </row>
    <row r="114" spans="1:12" ht="48" x14ac:dyDescent="0.25">
      <c r="A114" s="10" t="s">
        <v>298</v>
      </c>
      <c r="B114" s="7" t="s">
        <v>286</v>
      </c>
      <c r="C114" s="8">
        <v>1</v>
      </c>
      <c r="D114" s="9">
        <v>52.5</v>
      </c>
      <c r="E114" s="9">
        <v>125</v>
      </c>
      <c r="F114" s="8">
        <v>251773084001</v>
      </c>
      <c r="G114" s="7" t="s">
        <v>88</v>
      </c>
      <c r="H114" s="10" t="s">
        <v>102</v>
      </c>
      <c r="I114" s="9">
        <v>15.75</v>
      </c>
      <c r="J114" s="7" t="s">
        <v>134</v>
      </c>
      <c r="K114" s="7" t="s">
        <v>174</v>
      </c>
      <c r="L114" s="11" t="str">
        <f>HYPERLINK("http://slimages.macys.com/is/image/MCY/15967426 ")</f>
        <v xml:space="preserve">http://slimages.macys.com/is/image/MCY/15967426 </v>
      </c>
    </row>
    <row r="115" spans="1:12" ht="48" x14ac:dyDescent="0.25">
      <c r="A115" s="10" t="s">
        <v>689</v>
      </c>
      <c r="B115" s="7" t="s">
        <v>286</v>
      </c>
      <c r="C115" s="8">
        <v>1</v>
      </c>
      <c r="D115" s="9">
        <v>52.5</v>
      </c>
      <c r="E115" s="9">
        <v>125</v>
      </c>
      <c r="F115" s="8">
        <v>251773084001</v>
      </c>
      <c r="G115" s="7" t="s">
        <v>88</v>
      </c>
      <c r="H115" s="10" t="s">
        <v>288</v>
      </c>
      <c r="I115" s="9">
        <v>15.75</v>
      </c>
      <c r="J115" s="7" t="s">
        <v>134</v>
      </c>
      <c r="K115" s="7" t="s">
        <v>174</v>
      </c>
      <c r="L115" s="11" t="str">
        <f>HYPERLINK("http://slimages.macys.com/is/image/MCY/15967426 ")</f>
        <v xml:space="preserve">http://slimages.macys.com/is/image/MCY/15967426 </v>
      </c>
    </row>
    <row r="116" spans="1:12" ht="48" x14ac:dyDescent="0.25">
      <c r="A116" s="10" t="s">
        <v>1649</v>
      </c>
      <c r="B116" s="7" t="s">
        <v>1648</v>
      </c>
      <c r="C116" s="8">
        <v>1</v>
      </c>
      <c r="D116" s="9">
        <v>24.3</v>
      </c>
      <c r="E116" s="9">
        <v>79</v>
      </c>
      <c r="F116" s="8">
        <v>10722380</v>
      </c>
      <c r="G116" s="7" t="s">
        <v>1647</v>
      </c>
      <c r="H116" s="10" t="s">
        <v>57</v>
      </c>
      <c r="I116" s="9">
        <v>7.29</v>
      </c>
      <c r="J116" s="7" t="s">
        <v>182</v>
      </c>
      <c r="K116" s="7" t="s">
        <v>1646</v>
      </c>
      <c r="L116" s="11" t="str">
        <f>HYPERLINK("http://slimages.macys.com/is/image/MCY/9677106 ")</f>
        <v xml:space="preserve">http://slimages.macys.com/is/image/MCY/9677106 </v>
      </c>
    </row>
    <row r="117" spans="1:12" ht="60" x14ac:dyDescent="0.25">
      <c r="A117" s="10" t="s">
        <v>1645</v>
      </c>
      <c r="B117" s="7" t="s">
        <v>1644</v>
      </c>
      <c r="C117" s="8">
        <v>1</v>
      </c>
      <c r="D117" s="9">
        <v>80</v>
      </c>
      <c r="E117" s="9">
        <v>199</v>
      </c>
      <c r="F117" s="8" t="s">
        <v>1643</v>
      </c>
      <c r="G117" s="7" t="s">
        <v>534</v>
      </c>
      <c r="H117" s="10" t="s">
        <v>685</v>
      </c>
      <c r="I117" s="9">
        <v>24</v>
      </c>
      <c r="J117" s="7" t="s">
        <v>65</v>
      </c>
      <c r="K117" s="7" t="s">
        <v>36</v>
      </c>
      <c r="L117" s="11" t="str">
        <f>HYPERLINK("http://slimages.macys.com/is/image/MCY/15644096 ")</f>
        <v xml:space="preserve">http://slimages.macys.com/is/image/MCY/15644096 </v>
      </c>
    </row>
    <row r="118" spans="1:12" ht="48" x14ac:dyDescent="0.25">
      <c r="A118" s="10" t="s">
        <v>1642</v>
      </c>
      <c r="B118" s="7" t="s">
        <v>1641</v>
      </c>
      <c r="C118" s="8">
        <v>1</v>
      </c>
      <c r="D118" s="9">
        <v>45.68</v>
      </c>
      <c r="E118" s="9">
        <v>145</v>
      </c>
      <c r="F118" s="8">
        <v>250775066002</v>
      </c>
      <c r="G118" s="7" t="s">
        <v>27</v>
      </c>
      <c r="H118" s="10" t="s">
        <v>89</v>
      </c>
      <c r="I118" s="9">
        <v>13.704000000000001</v>
      </c>
      <c r="J118" s="7" t="s">
        <v>137</v>
      </c>
      <c r="K118" s="7" t="s">
        <v>156</v>
      </c>
      <c r="L118" s="11" t="str">
        <f>HYPERLINK("http://slimages.macys.com/is/image/MCY/14796067 ")</f>
        <v xml:space="preserve">http://slimages.macys.com/is/image/MCY/14796067 </v>
      </c>
    </row>
    <row r="119" spans="1:12" ht="48" x14ac:dyDescent="0.25">
      <c r="A119" s="10" t="s">
        <v>1640</v>
      </c>
      <c r="B119" s="7" t="s">
        <v>1639</v>
      </c>
      <c r="C119" s="8">
        <v>1</v>
      </c>
      <c r="D119" s="9">
        <v>31.15</v>
      </c>
      <c r="E119" s="9">
        <v>89</v>
      </c>
      <c r="F119" s="8">
        <v>1140441</v>
      </c>
      <c r="G119" s="7" t="s">
        <v>526</v>
      </c>
      <c r="H119" s="10" t="s">
        <v>35</v>
      </c>
      <c r="I119" s="9">
        <v>9.3450000000000006</v>
      </c>
      <c r="J119" s="7" t="s">
        <v>182</v>
      </c>
      <c r="K119" s="7" t="s">
        <v>46</v>
      </c>
      <c r="L119" s="11" t="str">
        <f>HYPERLINK("http://slimages.macys.com/is/image/MCY/10280711 ")</f>
        <v xml:space="preserve">http://slimages.macys.com/is/image/MCY/10280711 </v>
      </c>
    </row>
    <row r="120" spans="1:12" ht="48" x14ac:dyDescent="0.25">
      <c r="A120" s="10" t="s">
        <v>1638</v>
      </c>
      <c r="B120" s="7" t="s">
        <v>384</v>
      </c>
      <c r="C120" s="8">
        <v>1</v>
      </c>
      <c r="D120" s="9">
        <v>39.6</v>
      </c>
      <c r="E120" s="9">
        <v>99</v>
      </c>
      <c r="F120" s="8" t="s">
        <v>385</v>
      </c>
      <c r="G120" s="7" t="s">
        <v>45</v>
      </c>
      <c r="H120" s="10" t="s">
        <v>212</v>
      </c>
      <c r="I120" s="9">
        <v>11.88</v>
      </c>
      <c r="J120" s="7" t="s">
        <v>75</v>
      </c>
      <c r="K120" s="7" t="s">
        <v>46</v>
      </c>
      <c r="L120" s="11" t="str">
        <f>HYPERLINK("http://slimages.macys.com/is/image/MCY/15163651 ")</f>
        <v xml:space="preserve">http://slimages.macys.com/is/image/MCY/15163651 </v>
      </c>
    </row>
    <row r="121" spans="1:12" ht="48" x14ac:dyDescent="0.25">
      <c r="A121" s="10" t="s">
        <v>383</v>
      </c>
      <c r="B121" s="7" t="s">
        <v>384</v>
      </c>
      <c r="C121" s="8">
        <v>1</v>
      </c>
      <c r="D121" s="9">
        <v>39.6</v>
      </c>
      <c r="E121" s="9">
        <v>99</v>
      </c>
      <c r="F121" s="8" t="s">
        <v>385</v>
      </c>
      <c r="G121" s="7" t="s">
        <v>45</v>
      </c>
      <c r="H121" s="10" t="s">
        <v>78</v>
      </c>
      <c r="I121" s="9">
        <v>11.88</v>
      </c>
      <c r="J121" s="7" t="s">
        <v>75</v>
      </c>
      <c r="K121" s="7" t="s">
        <v>46</v>
      </c>
      <c r="L121" s="11" t="str">
        <f>HYPERLINK("http://slimages.macys.com/is/image/MCY/15163651 ")</f>
        <v xml:space="preserve">http://slimages.macys.com/is/image/MCY/15163651 </v>
      </c>
    </row>
    <row r="122" spans="1:12" ht="48" x14ac:dyDescent="0.25">
      <c r="A122" s="10" t="s">
        <v>1637</v>
      </c>
      <c r="B122" s="7" t="s">
        <v>384</v>
      </c>
      <c r="C122" s="8">
        <v>1</v>
      </c>
      <c r="D122" s="9">
        <v>39.6</v>
      </c>
      <c r="E122" s="9">
        <v>99</v>
      </c>
      <c r="F122" s="8" t="s">
        <v>385</v>
      </c>
      <c r="G122" s="7" t="s">
        <v>45</v>
      </c>
      <c r="H122" s="10" t="s">
        <v>285</v>
      </c>
      <c r="I122" s="9">
        <v>11.88</v>
      </c>
      <c r="J122" s="7" t="s">
        <v>75</v>
      </c>
      <c r="K122" s="7" t="s">
        <v>46</v>
      </c>
      <c r="L122" s="11" t="str">
        <f>HYPERLINK("http://slimages.macys.com/is/image/MCY/15163651 ")</f>
        <v xml:space="preserve">http://slimages.macys.com/is/image/MCY/15163651 </v>
      </c>
    </row>
    <row r="123" spans="1:12" ht="48" x14ac:dyDescent="0.25">
      <c r="A123" s="10" t="s">
        <v>1636</v>
      </c>
      <c r="B123" s="7" t="s">
        <v>1634</v>
      </c>
      <c r="C123" s="8">
        <v>1</v>
      </c>
      <c r="D123" s="9">
        <v>65.8</v>
      </c>
      <c r="E123" s="9">
        <v>188</v>
      </c>
      <c r="F123" s="8" t="s">
        <v>1633</v>
      </c>
      <c r="G123" s="7" t="s">
        <v>194</v>
      </c>
      <c r="H123" s="10" t="s">
        <v>25</v>
      </c>
      <c r="I123" s="9">
        <v>19.739999999999998</v>
      </c>
      <c r="J123" s="7" t="s">
        <v>54</v>
      </c>
      <c r="K123" s="7" t="s">
        <v>46</v>
      </c>
      <c r="L123" s="11" t="str">
        <f>HYPERLINK("http://slimages.macys.com/is/image/MCY/15218647 ")</f>
        <v xml:space="preserve">http://slimages.macys.com/is/image/MCY/15218647 </v>
      </c>
    </row>
    <row r="124" spans="1:12" ht="48" x14ac:dyDescent="0.25">
      <c r="A124" s="10" t="s">
        <v>1635</v>
      </c>
      <c r="B124" s="7" t="s">
        <v>1634</v>
      </c>
      <c r="C124" s="8">
        <v>1</v>
      </c>
      <c r="D124" s="9">
        <v>65.8</v>
      </c>
      <c r="E124" s="9">
        <v>188</v>
      </c>
      <c r="F124" s="8" t="s">
        <v>1633</v>
      </c>
      <c r="G124" s="7" t="s">
        <v>194</v>
      </c>
      <c r="H124" s="10" t="s">
        <v>53</v>
      </c>
      <c r="I124" s="9">
        <v>19.739999999999998</v>
      </c>
      <c r="J124" s="7" t="s">
        <v>54</v>
      </c>
      <c r="K124" s="7" t="s">
        <v>46</v>
      </c>
      <c r="L124" s="11" t="str">
        <f>HYPERLINK("http://slimages.macys.com/is/image/MCY/15218647 ")</f>
        <v xml:space="preserve">http://slimages.macys.com/is/image/MCY/15218647 </v>
      </c>
    </row>
    <row r="125" spans="1:12" ht="60" x14ac:dyDescent="0.25">
      <c r="A125" s="10" t="s">
        <v>1632</v>
      </c>
      <c r="B125" s="7" t="s">
        <v>571</v>
      </c>
      <c r="C125" s="8">
        <v>1</v>
      </c>
      <c r="D125" s="9">
        <v>17</v>
      </c>
      <c r="E125" s="9">
        <v>42.99</v>
      </c>
      <c r="F125" s="8" t="s">
        <v>570</v>
      </c>
      <c r="G125" s="7" t="s">
        <v>114</v>
      </c>
      <c r="H125" s="10" t="s">
        <v>78</v>
      </c>
      <c r="I125" s="9">
        <v>5.0999999999999996</v>
      </c>
      <c r="J125" s="7" t="s">
        <v>496</v>
      </c>
      <c r="K125" s="7" t="s">
        <v>36</v>
      </c>
      <c r="L125" s="11" t="str">
        <f>HYPERLINK("http://slimages.macys.com/is/image/MCY/14566325 ")</f>
        <v xml:space="preserve">http://slimages.macys.com/is/image/MCY/14566325 </v>
      </c>
    </row>
    <row r="126" spans="1:12" ht="48" x14ac:dyDescent="0.25">
      <c r="A126" s="10" t="s">
        <v>1631</v>
      </c>
      <c r="B126" s="7" t="s">
        <v>1630</v>
      </c>
      <c r="C126" s="8">
        <v>1</v>
      </c>
      <c r="D126" s="9">
        <v>53</v>
      </c>
      <c r="E126" s="9">
        <v>134</v>
      </c>
      <c r="F126" s="8" t="s">
        <v>1629</v>
      </c>
      <c r="G126" s="7" t="s">
        <v>377</v>
      </c>
      <c r="H126" s="10" t="s">
        <v>102</v>
      </c>
      <c r="I126" s="9">
        <v>15.9</v>
      </c>
      <c r="J126" s="7" t="s">
        <v>134</v>
      </c>
      <c r="K126" s="7" t="s">
        <v>61</v>
      </c>
      <c r="L126" s="11" t="str">
        <f>HYPERLINK("http://slimages.macys.com/is/image/MCY/13689358 ")</f>
        <v xml:space="preserve">http://slimages.macys.com/is/image/MCY/13689358 </v>
      </c>
    </row>
    <row r="127" spans="1:12" ht="60" x14ac:dyDescent="0.25">
      <c r="A127" s="10" t="s">
        <v>1628</v>
      </c>
      <c r="B127" s="7" t="s">
        <v>433</v>
      </c>
      <c r="C127" s="8">
        <v>1</v>
      </c>
      <c r="D127" s="9">
        <v>31.6</v>
      </c>
      <c r="E127" s="9">
        <v>79</v>
      </c>
      <c r="F127" s="8" t="s">
        <v>434</v>
      </c>
      <c r="G127" s="7" t="s">
        <v>331</v>
      </c>
      <c r="H127" s="10" t="s">
        <v>28</v>
      </c>
      <c r="I127" s="9">
        <v>9.48</v>
      </c>
      <c r="J127" s="7" t="s">
        <v>182</v>
      </c>
      <c r="K127" s="7" t="s">
        <v>36</v>
      </c>
      <c r="L127" s="11" t="str">
        <f>HYPERLINK("http://slimages.macys.com/is/image/MCY/15494477 ")</f>
        <v xml:space="preserve">http://slimages.macys.com/is/image/MCY/15494477 </v>
      </c>
    </row>
    <row r="128" spans="1:12" ht="48" x14ac:dyDescent="0.25">
      <c r="A128" s="10" t="s">
        <v>1627</v>
      </c>
      <c r="B128" s="7" t="s">
        <v>1626</v>
      </c>
      <c r="C128" s="8">
        <v>1</v>
      </c>
      <c r="D128" s="9">
        <v>17</v>
      </c>
      <c r="E128" s="9">
        <v>42.99</v>
      </c>
      <c r="F128" s="8" t="s">
        <v>1625</v>
      </c>
      <c r="G128" s="7" t="s">
        <v>24</v>
      </c>
      <c r="H128" s="10" t="s">
        <v>442</v>
      </c>
      <c r="I128" s="9">
        <v>5.0999999999999996</v>
      </c>
      <c r="J128" s="7" t="s">
        <v>496</v>
      </c>
      <c r="K128" s="7" t="s">
        <v>61</v>
      </c>
      <c r="L128" s="11" t="str">
        <f>HYPERLINK("http://slimages.macys.com/is/image/MCY/14337532 ")</f>
        <v xml:space="preserve">http://slimages.macys.com/is/image/MCY/14337532 </v>
      </c>
    </row>
    <row r="129" spans="1:12" ht="48" x14ac:dyDescent="0.25">
      <c r="A129" s="10" t="s">
        <v>1624</v>
      </c>
      <c r="B129" s="7" t="s">
        <v>1623</v>
      </c>
      <c r="C129" s="8">
        <v>1</v>
      </c>
      <c r="D129" s="9">
        <v>47.6</v>
      </c>
      <c r="E129" s="9">
        <v>119</v>
      </c>
      <c r="F129" s="8" t="s">
        <v>1622</v>
      </c>
      <c r="G129" s="7" t="s">
        <v>211</v>
      </c>
      <c r="H129" s="10" t="s">
        <v>53</v>
      </c>
      <c r="I129" s="9">
        <v>14.28</v>
      </c>
      <c r="J129" s="7" t="s">
        <v>249</v>
      </c>
      <c r="K129" s="7" t="s">
        <v>1621</v>
      </c>
      <c r="L129" s="11" t="str">
        <f>HYPERLINK("http://slimages.macys.com/is/image/MCY/15296982 ")</f>
        <v xml:space="preserve">http://slimages.macys.com/is/image/MCY/15296982 </v>
      </c>
    </row>
    <row r="130" spans="1:12" ht="96" x14ac:dyDescent="0.25">
      <c r="A130" s="10" t="s">
        <v>1620</v>
      </c>
      <c r="B130" s="7" t="s">
        <v>223</v>
      </c>
      <c r="C130" s="8">
        <v>1</v>
      </c>
      <c r="D130" s="9">
        <v>60.9</v>
      </c>
      <c r="E130" s="9">
        <v>145</v>
      </c>
      <c r="F130" s="8">
        <v>250778134001</v>
      </c>
      <c r="G130" s="7" t="s">
        <v>27</v>
      </c>
      <c r="H130" s="10" t="s">
        <v>57</v>
      </c>
      <c r="I130" s="9">
        <v>18.27</v>
      </c>
      <c r="J130" s="7" t="s">
        <v>137</v>
      </c>
      <c r="K130" s="7" t="s">
        <v>224</v>
      </c>
      <c r="L130" s="11" t="str">
        <f>HYPERLINK("http://slimages.macys.com/is/image/MCY/15161238 ")</f>
        <v xml:space="preserve">http://slimages.macys.com/is/image/MCY/15161238 </v>
      </c>
    </row>
    <row r="131" spans="1:12" ht="108" x14ac:dyDescent="0.25">
      <c r="A131" s="10" t="s">
        <v>1619</v>
      </c>
      <c r="B131" s="7" t="s">
        <v>1618</v>
      </c>
      <c r="C131" s="8">
        <v>1</v>
      </c>
      <c r="D131" s="9">
        <v>73.599999999999994</v>
      </c>
      <c r="E131" s="9">
        <v>199</v>
      </c>
      <c r="F131" s="8" t="s">
        <v>1617</v>
      </c>
      <c r="G131" s="7" t="s">
        <v>564</v>
      </c>
      <c r="H131" s="10" t="s">
        <v>28</v>
      </c>
      <c r="I131" s="9">
        <v>22.08</v>
      </c>
      <c r="J131" s="7" t="s">
        <v>75</v>
      </c>
      <c r="K131" s="7" t="s">
        <v>1616</v>
      </c>
      <c r="L131" s="11" t="str">
        <f>HYPERLINK("http://slimages.macys.com/is/image/MCY/14704630 ")</f>
        <v xml:space="preserve">http://slimages.macys.com/is/image/MCY/14704630 </v>
      </c>
    </row>
    <row r="132" spans="1:12" ht="48" x14ac:dyDescent="0.25">
      <c r="A132" s="10" t="s">
        <v>1615</v>
      </c>
      <c r="B132" s="7" t="s">
        <v>1614</v>
      </c>
      <c r="C132" s="8">
        <v>1</v>
      </c>
      <c r="D132" s="9">
        <v>60.9</v>
      </c>
      <c r="E132" s="9">
        <v>145</v>
      </c>
      <c r="F132" s="8">
        <v>250752341001</v>
      </c>
      <c r="G132" s="7" t="s">
        <v>27</v>
      </c>
      <c r="H132" s="10" t="s">
        <v>25</v>
      </c>
      <c r="I132" s="9">
        <v>18.27</v>
      </c>
      <c r="J132" s="7" t="s">
        <v>137</v>
      </c>
      <c r="K132" s="7" t="s">
        <v>174</v>
      </c>
      <c r="L132" s="11" t="str">
        <f>HYPERLINK("http://slimages.macys.com/is/image/MCY/15198276 ")</f>
        <v xml:space="preserve">http://slimages.macys.com/is/image/MCY/15198276 </v>
      </c>
    </row>
    <row r="133" spans="1:12" ht="24" x14ac:dyDescent="0.25">
      <c r="A133" s="10" t="s">
        <v>1613</v>
      </c>
      <c r="B133" s="7" t="s">
        <v>565</v>
      </c>
      <c r="C133" s="8">
        <v>1</v>
      </c>
      <c r="D133" s="9">
        <v>38.25</v>
      </c>
      <c r="E133" s="9">
        <v>109</v>
      </c>
      <c r="F133" s="8" t="s">
        <v>566</v>
      </c>
      <c r="G133" s="7" t="s">
        <v>117</v>
      </c>
      <c r="H133" s="10" t="s">
        <v>57</v>
      </c>
      <c r="I133" s="9">
        <v>11.475</v>
      </c>
      <c r="J133" s="7" t="s">
        <v>118</v>
      </c>
      <c r="K133" s="7"/>
      <c r="L133" s="11"/>
    </row>
    <row r="134" spans="1:12" ht="48" x14ac:dyDescent="0.25">
      <c r="A134" s="10" t="s">
        <v>1612</v>
      </c>
      <c r="B134" s="7" t="s">
        <v>1611</v>
      </c>
      <c r="C134" s="8">
        <v>1</v>
      </c>
      <c r="D134" s="9">
        <v>47.6</v>
      </c>
      <c r="E134" s="9">
        <v>119</v>
      </c>
      <c r="F134" s="8" t="s">
        <v>1610</v>
      </c>
      <c r="G134" s="7" t="s">
        <v>27</v>
      </c>
      <c r="H134" s="10" t="s">
        <v>53</v>
      </c>
      <c r="I134" s="9">
        <v>14.28</v>
      </c>
      <c r="J134" s="7" t="s">
        <v>249</v>
      </c>
      <c r="K134" s="7" t="s">
        <v>219</v>
      </c>
      <c r="L134" s="11" t="str">
        <f>HYPERLINK("http://slimages.macys.com/is/image/MCY/15143169 ")</f>
        <v xml:space="preserve">http://slimages.macys.com/is/image/MCY/15143169 </v>
      </c>
    </row>
    <row r="135" spans="1:12" ht="48" x14ac:dyDescent="0.25">
      <c r="A135" s="10" t="s">
        <v>1609</v>
      </c>
      <c r="B135" s="7" t="s">
        <v>655</v>
      </c>
      <c r="C135" s="8">
        <v>1</v>
      </c>
      <c r="D135" s="9">
        <v>41.65</v>
      </c>
      <c r="E135" s="9">
        <v>119</v>
      </c>
      <c r="F135" s="8">
        <v>9271516</v>
      </c>
      <c r="G135" s="7" t="s">
        <v>45</v>
      </c>
      <c r="H135" s="10" t="s">
        <v>40</v>
      </c>
      <c r="I135" s="9">
        <v>12.494999999999999</v>
      </c>
      <c r="J135" s="7" t="s">
        <v>39</v>
      </c>
      <c r="K135" s="7" t="s">
        <v>52</v>
      </c>
      <c r="L135" s="11" t="str">
        <f>HYPERLINK("http://slimages.macys.com/is/image/MCY/15719115 ")</f>
        <v xml:space="preserve">http://slimages.macys.com/is/image/MCY/15719115 </v>
      </c>
    </row>
    <row r="136" spans="1:12" ht="48" x14ac:dyDescent="0.25">
      <c r="A136" s="10" t="s">
        <v>1608</v>
      </c>
      <c r="B136" s="7" t="s">
        <v>1607</v>
      </c>
      <c r="C136" s="8">
        <v>1</v>
      </c>
      <c r="D136" s="9">
        <v>25</v>
      </c>
      <c r="E136" s="9">
        <v>79</v>
      </c>
      <c r="F136" s="8" t="s">
        <v>1606</v>
      </c>
      <c r="G136" s="7" t="s">
        <v>27</v>
      </c>
      <c r="H136" s="10"/>
      <c r="I136" s="9">
        <v>7.5</v>
      </c>
      <c r="J136" s="7" t="s">
        <v>134</v>
      </c>
      <c r="K136" s="7" t="s">
        <v>1605</v>
      </c>
      <c r="L136" s="11" t="str">
        <f>HYPERLINK("http://slimages.macys.com/is/image/MCY/15190404 ")</f>
        <v xml:space="preserve">http://slimages.macys.com/is/image/MCY/15190404 </v>
      </c>
    </row>
    <row r="137" spans="1:12" ht="48" x14ac:dyDescent="0.25">
      <c r="A137" s="10" t="s">
        <v>1604</v>
      </c>
      <c r="B137" s="7" t="s">
        <v>258</v>
      </c>
      <c r="C137" s="8">
        <v>1</v>
      </c>
      <c r="D137" s="9">
        <v>55.6</v>
      </c>
      <c r="E137" s="9">
        <v>139</v>
      </c>
      <c r="F137" s="8" t="s">
        <v>267</v>
      </c>
      <c r="G137" s="7" t="s">
        <v>27</v>
      </c>
      <c r="H137" s="10" t="s">
        <v>53</v>
      </c>
      <c r="I137" s="9">
        <v>16.68</v>
      </c>
      <c r="J137" s="7" t="s">
        <v>183</v>
      </c>
      <c r="K137" s="7" t="s">
        <v>219</v>
      </c>
      <c r="L137" s="11" t="str">
        <f>HYPERLINK("http://slimages.macys.com/is/image/MCY/15012180 ")</f>
        <v xml:space="preserve">http://slimages.macys.com/is/image/MCY/15012180 </v>
      </c>
    </row>
    <row r="138" spans="1:12" ht="48" x14ac:dyDescent="0.25">
      <c r="A138" s="10" t="s">
        <v>1603</v>
      </c>
      <c r="B138" s="7" t="s">
        <v>258</v>
      </c>
      <c r="C138" s="8">
        <v>1</v>
      </c>
      <c r="D138" s="9">
        <v>55.6</v>
      </c>
      <c r="E138" s="9">
        <v>139</v>
      </c>
      <c r="F138" s="8" t="s">
        <v>267</v>
      </c>
      <c r="G138" s="7" t="s">
        <v>114</v>
      </c>
      <c r="H138" s="10" t="s">
        <v>57</v>
      </c>
      <c r="I138" s="9">
        <v>16.68</v>
      </c>
      <c r="J138" s="7" t="s">
        <v>183</v>
      </c>
      <c r="K138" s="7" t="s">
        <v>219</v>
      </c>
      <c r="L138" s="11" t="str">
        <f>HYPERLINK("http://slimages.macys.com/is/image/MCY/14825042 ")</f>
        <v xml:space="preserve">http://slimages.macys.com/is/image/MCY/14825042 </v>
      </c>
    </row>
    <row r="139" spans="1:12" ht="48" x14ac:dyDescent="0.25">
      <c r="A139" s="10" t="s">
        <v>1602</v>
      </c>
      <c r="B139" s="7" t="s">
        <v>258</v>
      </c>
      <c r="C139" s="8">
        <v>1</v>
      </c>
      <c r="D139" s="9">
        <v>55.6</v>
      </c>
      <c r="E139" s="9">
        <v>139</v>
      </c>
      <c r="F139" s="8" t="s">
        <v>259</v>
      </c>
      <c r="G139" s="7" t="s">
        <v>211</v>
      </c>
      <c r="H139" s="10" t="s">
        <v>62</v>
      </c>
      <c r="I139" s="9">
        <v>16.68</v>
      </c>
      <c r="J139" s="7" t="s">
        <v>183</v>
      </c>
      <c r="K139" s="7" t="s">
        <v>219</v>
      </c>
      <c r="L139" s="11" t="str">
        <f>HYPERLINK("http://slimages.macys.com/is/image/MCY/15633692 ")</f>
        <v xml:space="preserve">http://slimages.macys.com/is/image/MCY/15633692 </v>
      </c>
    </row>
    <row r="140" spans="1:12" ht="48" x14ac:dyDescent="0.25">
      <c r="A140" s="10" t="s">
        <v>1601</v>
      </c>
      <c r="B140" s="7" t="s">
        <v>258</v>
      </c>
      <c r="C140" s="8">
        <v>1</v>
      </c>
      <c r="D140" s="9">
        <v>55.6</v>
      </c>
      <c r="E140" s="9">
        <v>139</v>
      </c>
      <c r="F140" s="8" t="s">
        <v>267</v>
      </c>
      <c r="G140" s="7" t="s">
        <v>534</v>
      </c>
      <c r="H140" s="10" t="s">
        <v>30</v>
      </c>
      <c r="I140" s="9">
        <v>16.68</v>
      </c>
      <c r="J140" s="7" t="s">
        <v>183</v>
      </c>
      <c r="K140" s="7" t="s">
        <v>219</v>
      </c>
      <c r="L140" s="11" t="str">
        <f>HYPERLINK("http://slimages.macys.com/is/image/MCY/15012180 ")</f>
        <v xml:space="preserve">http://slimages.macys.com/is/image/MCY/15012180 </v>
      </c>
    </row>
    <row r="141" spans="1:12" ht="48" x14ac:dyDescent="0.25">
      <c r="A141" s="10" t="s">
        <v>1600</v>
      </c>
      <c r="B141" s="7" t="s">
        <v>258</v>
      </c>
      <c r="C141" s="8">
        <v>1</v>
      </c>
      <c r="D141" s="9">
        <v>55.6</v>
      </c>
      <c r="E141" s="9">
        <v>139</v>
      </c>
      <c r="F141" s="8" t="s">
        <v>259</v>
      </c>
      <c r="G141" s="7" t="s">
        <v>63</v>
      </c>
      <c r="H141" s="10" t="s">
        <v>30</v>
      </c>
      <c r="I141" s="9">
        <v>16.68</v>
      </c>
      <c r="J141" s="7" t="s">
        <v>183</v>
      </c>
      <c r="K141" s="7" t="s">
        <v>219</v>
      </c>
      <c r="L141" s="11" t="str">
        <f>HYPERLINK("http://slimages.macys.com/is/image/MCY/15633694 ")</f>
        <v xml:space="preserve">http://slimages.macys.com/is/image/MCY/15633694 </v>
      </c>
    </row>
    <row r="142" spans="1:12" ht="72" x14ac:dyDescent="0.25">
      <c r="A142" s="10" t="s">
        <v>1599</v>
      </c>
      <c r="B142" s="7" t="s">
        <v>1598</v>
      </c>
      <c r="C142" s="8">
        <v>1</v>
      </c>
      <c r="D142" s="9">
        <v>57.06</v>
      </c>
      <c r="E142" s="9">
        <v>179</v>
      </c>
      <c r="F142" s="8" t="s">
        <v>1597</v>
      </c>
      <c r="G142" s="7" t="s">
        <v>45</v>
      </c>
      <c r="H142" s="10" t="s">
        <v>35</v>
      </c>
      <c r="I142" s="9">
        <v>17.117999999999999</v>
      </c>
      <c r="J142" s="7" t="s">
        <v>118</v>
      </c>
      <c r="K142" s="7" t="s">
        <v>1200</v>
      </c>
      <c r="L142" s="11" t="str">
        <f>HYPERLINK("http://slimages.macys.com/is/image/MCY/13058869 ")</f>
        <v xml:space="preserve">http://slimages.macys.com/is/image/MCY/13058869 </v>
      </c>
    </row>
    <row r="143" spans="1:12" ht="24" x14ac:dyDescent="0.25">
      <c r="A143" s="10" t="s">
        <v>1596</v>
      </c>
      <c r="B143" s="7" t="s">
        <v>560</v>
      </c>
      <c r="C143" s="8">
        <v>2</v>
      </c>
      <c r="D143" s="9">
        <v>55</v>
      </c>
      <c r="E143" s="9">
        <v>148</v>
      </c>
      <c r="F143" s="8" t="s">
        <v>561</v>
      </c>
      <c r="G143" s="7" t="s">
        <v>27</v>
      </c>
      <c r="H143" s="10" t="s">
        <v>25</v>
      </c>
      <c r="I143" s="9">
        <v>16.5</v>
      </c>
      <c r="J143" s="7" t="s">
        <v>79</v>
      </c>
      <c r="K143" s="7"/>
      <c r="L143" s="11"/>
    </row>
    <row r="144" spans="1:12" ht="24" x14ac:dyDescent="0.25">
      <c r="A144" s="10" t="s">
        <v>559</v>
      </c>
      <c r="B144" s="7" t="s">
        <v>560</v>
      </c>
      <c r="C144" s="8">
        <v>1</v>
      </c>
      <c r="D144" s="9">
        <v>55</v>
      </c>
      <c r="E144" s="9">
        <v>148</v>
      </c>
      <c r="F144" s="8" t="s">
        <v>561</v>
      </c>
      <c r="G144" s="7" t="s">
        <v>27</v>
      </c>
      <c r="H144" s="10" t="s">
        <v>53</v>
      </c>
      <c r="I144" s="9">
        <v>16.5</v>
      </c>
      <c r="J144" s="7" t="s">
        <v>79</v>
      </c>
      <c r="K144" s="7"/>
      <c r="L144" s="11"/>
    </row>
    <row r="145" spans="1:12" ht="24" x14ac:dyDescent="0.25">
      <c r="A145" s="10" t="s">
        <v>1595</v>
      </c>
      <c r="B145" s="7" t="s">
        <v>560</v>
      </c>
      <c r="C145" s="8">
        <v>1</v>
      </c>
      <c r="D145" s="9">
        <v>55</v>
      </c>
      <c r="E145" s="9">
        <v>148</v>
      </c>
      <c r="F145" s="8" t="s">
        <v>561</v>
      </c>
      <c r="G145" s="7" t="s">
        <v>27</v>
      </c>
      <c r="H145" s="10" t="s">
        <v>30</v>
      </c>
      <c r="I145" s="9">
        <v>16.5</v>
      </c>
      <c r="J145" s="7" t="s">
        <v>79</v>
      </c>
      <c r="K145" s="7"/>
      <c r="L145" s="11"/>
    </row>
    <row r="146" spans="1:12" ht="48" x14ac:dyDescent="0.25">
      <c r="A146" s="10" t="s">
        <v>1594</v>
      </c>
      <c r="B146" s="7" t="s">
        <v>209</v>
      </c>
      <c r="C146" s="8">
        <v>1</v>
      </c>
      <c r="D146" s="9">
        <v>63</v>
      </c>
      <c r="E146" s="9">
        <v>149</v>
      </c>
      <c r="F146" s="8" t="s">
        <v>180</v>
      </c>
      <c r="G146" s="7" t="s">
        <v>67</v>
      </c>
      <c r="H146" s="10" t="s">
        <v>728</v>
      </c>
      <c r="I146" s="9">
        <v>18.899999999999999</v>
      </c>
      <c r="J146" s="7" t="s">
        <v>118</v>
      </c>
      <c r="K146" s="7" t="s">
        <v>46</v>
      </c>
      <c r="L146" s="11" t="str">
        <f>HYPERLINK("http://slimages.macys.com/is/image/MCY/14514053 ")</f>
        <v xml:space="preserve">http://slimages.macys.com/is/image/MCY/14514053 </v>
      </c>
    </row>
    <row r="147" spans="1:12" ht="48" x14ac:dyDescent="0.25">
      <c r="A147" s="10" t="s">
        <v>210</v>
      </c>
      <c r="B147" s="7" t="s">
        <v>209</v>
      </c>
      <c r="C147" s="8">
        <v>1</v>
      </c>
      <c r="D147" s="9">
        <v>63</v>
      </c>
      <c r="E147" s="9">
        <v>149</v>
      </c>
      <c r="F147" s="8" t="s">
        <v>180</v>
      </c>
      <c r="G147" s="7" t="s">
        <v>67</v>
      </c>
      <c r="H147" s="10" t="s">
        <v>30</v>
      </c>
      <c r="I147" s="9">
        <v>18.899999999999999</v>
      </c>
      <c r="J147" s="7" t="s">
        <v>118</v>
      </c>
      <c r="K147" s="7" t="s">
        <v>52</v>
      </c>
      <c r="L147" s="11" t="str">
        <f>HYPERLINK("http://slimages.macys.com/is/image/MCY/15071028 ")</f>
        <v xml:space="preserve">http://slimages.macys.com/is/image/MCY/15071028 </v>
      </c>
    </row>
    <row r="148" spans="1:12" ht="48" x14ac:dyDescent="0.25">
      <c r="A148" s="10" t="s">
        <v>1593</v>
      </c>
      <c r="B148" s="7" t="s">
        <v>209</v>
      </c>
      <c r="C148" s="8">
        <v>1</v>
      </c>
      <c r="D148" s="9">
        <v>63</v>
      </c>
      <c r="E148" s="9">
        <v>149</v>
      </c>
      <c r="F148" s="8" t="s">
        <v>180</v>
      </c>
      <c r="G148" s="7" t="s">
        <v>67</v>
      </c>
      <c r="H148" s="10" t="s">
        <v>25</v>
      </c>
      <c r="I148" s="9">
        <v>18.899999999999999</v>
      </c>
      <c r="J148" s="7" t="s">
        <v>118</v>
      </c>
      <c r="K148" s="7" t="s">
        <v>52</v>
      </c>
      <c r="L148" s="11" t="str">
        <f>HYPERLINK("http://slimages.macys.com/is/image/MCY/15071028 ")</f>
        <v xml:space="preserve">http://slimages.macys.com/is/image/MCY/15071028 </v>
      </c>
    </row>
    <row r="149" spans="1:12" ht="48" x14ac:dyDescent="0.25">
      <c r="A149" s="10" t="s">
        <v>1592</v>
      </c>
      <c r="B149" s="7" t="s">
        <v>1591</v>
      </c>
      <c r="C149" s="8">
        <v>1</v>
      </c>
      <c r="D149" s="9">
        <v>51.6</v>
      </c>
      <c r="E149" s="9">
        <v>129</v>
      </c>
      <c r="F149" s="8" t="s">
        <v>1590</v>
      </c>
      <c r="G149" s="7" t="s">
        <v>27</v>
      </c>
      <c r="H149" s="10" t="s">
        <v>25</v>
      </c>
      <c r="I149" s="9">
        <v>15.48</v>
      </c>
      <c r="J149" s="7" t="s">
        <v>249</v>
      </c>
      <c r="K149" s="7" t="s">
        <v>219</v>
      </c>
      <c r="L149" s="11" t="str">
        <f>HYPERLINK("http://slimages.macys.com/is/image/MCY/15296939 ")</f>
        <v xml:space="preserve">http://slimages.macys.com/is/image/MCY/15296939 </v>
      </c>
    </row>
    <row r="150" spans="1:12" ht="48" x14ac:dyDescent="0.25">
      <c r="A150" s="10" t="s">
        <v>1589</v>
      </c>
      <c r="B150" s="7" t="s">
        <v>1588</v>
      </c>
      <c r="C150" s="8">
        <v>1</v>
      </c>
      <c r="D150" s="9">
        <v>19</v>
      </c>
      <c r="E150" s="9">
        <v>47.99</v>
      </c>
      <c r="F150" s="8" t="s">
        <v>1587</v>
      </c>
      <c r="G150" s="7" t="s">
        <v>117</v>
      </c>
      <c r="H150" s="10" t="s">
        <v>402</v>
      </c>
      <c r="I150" s="9">
        <v>5.7</v>
      </c>
      <c r="J150" s="7" t="s">
        <v>496</v>
      </c>
      <c r="K150" s="7" t="s">
        <v>61</v>
      </c>
      <c r="L150" s="11" t="str">
        <f>HYPERLINK("http://slimages.macys.com/is/image/MCY/14566381 ")</f>
        <v xml:space="preserve">http://slimages.macys.com/is/image/MCY/14566381 </v>
      </c>
    </row>
    <row r="151" spans="1:12" ht="24" x14ac:dyDescent="0.25">
      <c r="A151" s="10" t="s">
        <v>1586</v>
      </c>
      <c r="B151" s="7" t="s">
        <v>1585</v>
      </c>
      <c r="C151" s="8">
        <v>1</v>
      </c>
      <c r="D151" s="9">
        <v>18</v>
      </c>
      <c r="E151" s="9">
        <v>60</v>
      </c>
      <c r="F151" s="8" t="s">
        <v>1584</v>
      </c>
      <c r="G151" s="7" t="s">
        <v>181</v>
      </c>
      <c r="H151" s="10" t="s">
        <v>1583</v>
      </c>
      <c r="I151" s="9">
        <v>5.4</v>
      </c>
      <c r="J151" s="7" t="s">
        <v>475</v>
      </c>
      <c r="K151" s="7"/>
      <c r="L151" s="11"/>
    </row>
    <row r="152" spans="1:12" ht="48" x14ac:dyDescent="0.25">
      <c r="A152" s="10" t="s">
        <v>1582</v>
      </c>
      <c r="B152" s="7" t="s">
        <v>1581</v>
      </c>
      <c r="C152" s="8">
        <v>1</v>
      </c>
      <c r="D152" s="9">
        <v>18</v>
      </c>
      <c r="E152" s="9">
        <v>60</v>
      </c>
      <c r="F152" s="8" t="s">
        <v>1580</v>
      </c>
      <c r="G152" s="7" t="s">
        <v>181</v>
      </c>
      <c r="H152" s="10" t="s">
        <v>567</v>
      </c>
      <c r="I152" s="9">
        <v>5.4</v>
      </c>
      <c r="J152" s="7" t="s">
        <v>475</v>
      </c>
      <c r="K152" s="7" t="s">
        <v>46</v>
      </c>
      <c r="L152" s="11" t="str">
        <f>HYPERLINK("http://slimages.macys.com/is/image/MCY/12942743 ")</f>
        <v xml:space="preserve">http://slimages.macys.com/is/image/MCY/12942743 </v>
      </c>
    </row>
    <row r="153" spans="1:12" ht="60" x14ac:dyDescent="0.25">
      <c r="A153" s="10" t="s">
        <v>1579</v>
      </c>
      <c r="B153" s="7" t="s">
        <v>481</v>
      </c>
      <c r="C153" s="8">
        <v>1</v>
      </c>
      <c r="D153" s="9">
        <v>22</v>
      </c>
      <c r="E153" s="9">
        <v>69</v>
      </c>
      <c r="F153" s="8" t="s">
        <v>482</v>
      </c>
      <c r="G153" s="7" t="s">
        <v>131</v>
      </c>
      <c r="H153" s="10" t="s">
        <v>403</v>
      </c>
      <c r="I153" s="9">
        <v>6.6</v>
      </c>
      <c r="J153" s="7" t="s">
        <v>382</v>
      </c>
      <c r="K153" s="7" t="s">
        <v>100</v>
      </c>
      <c r="L153" s="11" t="str">
        <f>HYPERLINK("http://slimages.macys.com/is/image/MCY/15146351 ")</f>
        <v xml:space="preserve">http://slimages.macys.com/is/image/MCY/15146351 </v>
      </c>
    </row>
    <row r="154" spans="1:12" ht="60" x14ac:dyDescent="0.25">
      <c r="A154" s="10" t="s">
        <v>1578</v>
      </c>
      <c r="B154" s="7" t="s">
        <v>481</v>
      </c>
      <c r="C154" s="8">
        <v>1</v>
      </c>
      <c r="D154" s="9">
        <v>22</v>
      </c>
      <c r="E154" s="9">
        <v>69</v>
      </c>
      <c r="F154" s="8" t="s">
        <v>482</v>
      </c>
      <c r="G154" s="7" t="s">
        <v>131</v>
      </c>
      <c r="H154" s="10" t="s">
        <v>419</v>
      </c>
      <c r="I154" s="9">
        <v>6.6</v>
      </c>
      <c r="J154" s="7" t="s">
        <v>382</v>
      </c>
      <c r="K154" s="7" t="s">
        <v>100</v>
      </c>
      <c r="L154" s="11" t="str">
        <f>HYPERLINK("http://slimages.macys.com/is/image/MCY/15146351 ")</f>
        <v xml:space="preserve">http://slimages.macys.com/is/image/MCY/15146351 </v>
      </c>
    </row>
    <row r="155" spans="1:12" ht="60" x14ac:dyDescent="0.25">
      <c r="A155" s="10" t="s">
        <v>1577</v>
      </c>
      <c r="B155" s="7" t="s">
        <v>333</v>
      </c>
      <c r="C155" s="8">
        <v>1</v>
      </c>
      <c r="D155" s="9">
        <v>45.15</v>
      </c>
      <c r="E155" s="9">
        <v>129</v>
      </c>
      <c r="F155" s="8" t="s">
        <v>334</v>
      </c>
      <c r="G155" s="7" t="s">
        <v>335</v>
      </c>
      <c r="H155" s="10" t="s">
        <v>132</v>
      </c>
      <c r="I155" s="9">
        <v>13.545</v>
      </c>
      <c r="J155" s="7" t="s">
        <v>79</v>
      </c>
      <c r="K155" s="7" t="s">
        <v>123</v>
      </c>
      <c r="L155" s="11" t="str">
        <f>HYPERLINK("http://slimages.macys.com/is/image/MCY/14913922 ")</f>
        <v xml:space="preserve">http://slimages.macys.com/is/image/MCY/14913922 </v>
      </c>
    </row>
    <row r="156" spans="1:12" ht="120" x14ac:dyDescent="0.25">
      <c r="A156" s="10" t="s">
        <v>1576</v>
      </c>
      <c r="B156" s="7" t="s">
        <v>1575</v>
      </c>
      <c r="C156" s="8">
        <v>1</v>
      </c>
      <c r="D156" s="9">
        <v>73.900000000000006</v>
      </c>
      <c r="E156" s="9">
        <v>199</v>
      </c>
      <c r="F156" s="8" t="s">
        <v>1574</v>
      </c>
      <c r="G156" s="7" t="s">
        <v>27</v>
      </c>
      <c r="H156" s="10" t="s">
        <v>82</v>
      </c>
      <c r="I156" s="9">
        <v>22.17</v>
      </c>
      <c r="J156" s="7" t="s">
        <v>79</v>
      </c>
      <c r="K156" s="7" t="s">
        <v>1573</v>
      </c>
      <c r="L156" s="11" t="str">
        <f>HYPERLINK("http://slimages.macys.com/is/image/MCY/15236954 ")</f>
        <v xml:space="preserve">http://slimages.macys.com/is/image/MCY/15236954 </v>
      </c>
    </row>
    <row r="157" spans="1:12" ht="48" x14ac:dyDescent="0.25">
      <c r="A157" s="10" t="s">
        <v>1572</v>
      </c>
      <c r="B157" s="7" t="s">
        <v>1571</v>
      </c>
      <c r="C157" s="8">
        <v>1</v>
      </c>
      <c r="D157" s="9">
        <v>55.6</v>
      </c>
      <c r="E157" s="9">
        <v>139</v>
      </c>
      <c r="F157" s="8" t="s">
        <v>1570</v>
      </c>
      <c r="G157" s="7" t="s">
        <v>377</v>
      </c>
      <c r="H157" s="10" t="s">
        <v>53</v>
      </c>
      <c r="I157" s="9">
        <v>16.68</v>
      </c>
      <c r="J157" s="7" t="s">
        <v>237</v>
      </c>
      <c r="K157" s="7" t="s">
        <v>46</v>
      </c>
      <c r="L157" s="11" t="str">
        <f>HYPERLINK("http://slimages.macys.com/is/image/MCY/12746234 ")</f>
        <v xml:space="preserve">http://slimages.macys.com/is/image/MCY/12746234 </v>
      </c>
    </row>
    <row r="158" spans="1:12" ht="72" x14ac:dyDescent="0.25">
      <c r="A158" s="10" t="s">
        <v>1569</v>
      </c>
      <c r="B158" s="7" t="s">
        <v>226</v>
      </c>
      <c r="C158" s="8">
        <v>1</v>
      </c>
      <c r="D158" s="9">
        <v>60.9</v>
      </c>
      <c r="E158" s="9">
        <v>145</v>
      </c>
      <c r="F158" s="8">
        <v>250751565005</v>
      </c>
      <c r="G158" s="7" t="s">
        <v>88</v>
      </c>
      <c r="H158" s="10" t="s">
        <v>25</v>
      </c>
      <c r="I158" s="9">
        <v>18.27</v>
      </c>
      <c r="J158" s="7" t="s">
        <v>137</v>
      </c>
      <c r="K158" s="7" t="s">
        <v>227</v>
      </c>
      <c r="L158" s="11" t="str">
        <f>HYPERLINK("http://slimages.macys.com/is/image/MCY/15198794 ")</f>
        <v xml:space="preserve">http://slimages.macys.com/is/image/MCY/15198794 </v>
      </c>
    </row>
    <row r="159" spans="1:12" ht="48" x14ac:dyDescent="0.25">
      <c r="A159" s="10" t="s">
        <v>1568</v>
      </c>
      <c r="B159" s="7" t="s">
        <v>1566</v>
      </c>
      <c r="C159" s="8">
        <v>1</v>
      </c>
      <c r="D159" s="9">
        <v>81</v>
      </c>
      <c r="E159" s="9">
        <v>219</v>
      </c>
      <c r="F159" s="8" t="s">
        <v>1565</v>
      </c>
      <c r="G159" s="7" t="s">
        <v>27</v>
      </c>
      <c r="H159" s="10" t="s">
        <v>31</v>
      </c>
      <c r="I159" s="9">
        <v>24.3</v>
      </c>
      <c r="J159" s="7" t="s">
        <v>75</v>
      </c>
      <c r="K159" s="7" t="s">
        <v>46</v>
      </c>
      <c r="L159" s="11" t="str">
        <f>HYPERLINK("http://slimages.macys.com/is/image/MCY/13933843 ")</f>
        <v xml:space="preserve">http://slimages.macys.com/is/image/MCY/13933843 </v>
      </c>
    </row>
    <row r="160" spans="1:12" ht="48" x14ac:dyDescent="0.25">
      <c r="A160" s="10" t="s">
        <v>1567</v>
      </c>
      <c r="B160" s="7" t="s">
        <v>1566</v>
      </c>
      <c r="C160" s="8">
        <v>1</v>
      </c>
      <c r="D160" s="9">
        <v>81</v>
      </c>
      <c r="E160" s="9">
        <v>219</v>
      </c>
      <c r="F160" s="8" t="s">
        <v>1565</v>
      </c>
      <c r="G160" s="7" t="s">
        <v>27</v>
      </c>
      <c r="H160" s="10" t="s">
        <v>35</v>
      </c>
      <c r="I160" s="9">
        <v>24.3</v>
      </c>
      <c r="J160" s="7" t="s">
        <v>75</v>
      </c>
      <c r="K160" s="7" t="s">
        <v>46</v>
      </c>
      <c r="L160" s="11" t="str">
        <f>HYPERLINK("http://slimages.macys.com/is/image/MCY/13933843 ")</f>
        <v xml:space="preserve">http://slimages.macys.com/is/image/MCY/13933843 </v>
      </c>
    </row>
    <row r="161" spans="1:12" ht="48" x14ac:dyDescent="0.25">
      <c r="A161" s="10" t="s">
        <v>1564</v>
      </c>
      <c r="B161" s="7" t="s">
        <v>369</v>
      </c>
      <c r="C161" s="8">
        <v>1</v>
      </c>
      <c r="D161" s="9">
        <v>40</v>
      </c>
      <c r="E161" s="9">
        <v>89.98</v>
      </c>
      <c r="F161" s="8" t="s">
        <v>370</v>
      </c>
      <c r="G161" s="7" t="s">
        <v>117</v>
      </c>
      <c r="H161" s="10" t="s">
        <v>31</v>
      </c>
      <c r="I161" s="9">
        <v>12</v>
      </c>
      <c r="J161" s="7" t="s">
        <v>237</v>
      </c>
      <c r="K161" s="7" t="s">
        <v>219</v>
      </c>
      <c r="L161" s="11" t="str">
        <f>HYPERLINK("http://slimages.macys.com/is/image/MCY/15107363 ")</f>
        <v xml:space="preserve">http://slimages.macys.com/is/image/MCY/15107363 </v>
      </c>
    </row>
    <row r="162" spans="1:12" ht="48" x14ac:dyDescent="0.25">
      <c r="A162" s="10" t="s">
        <v>654</v>
      </c>
      <c r="B162" s="7" t="s">
        <v>369</v>
      </c>
      <c r="C162" s="8">
        <v>1</v>
      </c>
      <c r="D162" s="9">
        <v>40</v>
      </c>
      <c r="E162" s="9">
        <v>89.98</v>
      </c>
      <c r="F162" s="8" t="s">
        <v>370</v>
      </c>
      <c r="G162" s="7" t="s">
        <v>117</v>
      </c>
      <c r="H162" s="10" t="s">
        <v>28</v>
      </c>
      <c r="I162" s="9">
        <v>12</v>
      </c>
      <c r="J162" s="7" t="s">
        <v>237</v>
      </c>
      <c r="K162" s="7" t="s">
        <v>219</v>
      </c>
      <c r="L162" s="11" t="str">
        <f>HYPERLINK("http://slimages.macys.com/is/image/MCY/15107363 ")</f>
        <v xml:space="preserve">http://slimages.macys.com/is/image/MCY/15107363 </v>
      </c>
    </row>
    <row r="163" spans="1:12" ht="60" x14ac:dyDescent="0.25">
      <c r="A163" s="10" t="s">
        <v>1563</v>
      </c>
      <c r="B163" s="7" t="s">
        <v>1562</v>
      </c>
      <c r="C163" s="8">
        <v>1</v>
      </c>
      <c r="D163" s="9">
        <v>76.08</v>
      </c>
      <c r="E163" s="9">
        <v>179</v>
      </c>
      <c r="F163" s="8" t="s">
        <v>1561</v>
      </c>
      <c r="G163" s="7" t="s">
        <v>95</v>
      </c>
      <c r="H163" s="10" t="s">
        <v>57</v>
      </c>
      <c r="I163" s="9">
        <v>22.824000000000002</v>
      </c>
      <c r="J163" s="7" t="s">
        <v>29</v>
      </c>
      <c r="K163" s="7" t="s">
        <v>36</v>
      </c>
      <c r="L163" s="11" t="str">
        <f>HYPERLINK("http://slimages.macys.com/is/image/MCY/12801276 ")</f>
        <v xml:space="preserve">http://slimages.macys.com/is/image/MCY/12801276 </v>
      </c>
    </row>
    <row r="164" spans="1:12" ht="60" x14ac:dyDescent="0.25">
      <c r="A164" s="10" t="s">
        <v>1560</v>
      </c>
      <c r="B164" s="7" t="s">
        <v>1559</v>
      </c>
      <c r="C164" s="8">
        <v>1</v>
      </c>
      <c r="D164" s="9">
        <v>32.700000000000003</v>
      </c>
      <c r="E164" s="9">
        <v>109</v>
      </c>
      <c r="F164" s="8" t="s">
        <v>1558</v>
      </c>
      <c r="G164" s="7" t="s">
        <v>99</v>
      </c>
      <c r="H164" s="10" t="s">
        <v>82</v>
      </c>
      <c r="I164" s="9">
        <v>9.81</v>
      </c>
      <c r="J164" s="7" t="s">
        <v>79</v>
      </c>
      <c r="K164" s="7" t="s">
        <v>123</v>
      </c>
      <c r="L164" s="11" t="str">
        <f>HYPERLINK("http://slimages.macys.com/is/image/MCY/10288041 ")</f>
        <v xml:space="preserve">http://slimages.macys.com/is/image/MCY/10288041 </v>
      </c>
    </row>
    <row r="165" spans="1:12" ht="48" x14ac:dyDescent="0.25">
      <c r="A165" s="10" t="s">
        <v>289</v>
      </c>
      <c r="B165" s="7" t="s">
        <v>287</v>
      </c>
      <c r="C165" s="8">
        <v>1</v>
      </c>
      <c r="D165" s="9">
        <v>52.5</v>
      </c>
      <c r="E165" s="9">
        <v>125</v>
      </c>
      <c r="F165" s="8">
        <v>251789730001</v>
      </c>
      <c r="G165" s="7" t="s">
        <v>184</v>
      </c>
      <c r="H165" s="10" t="s">
        <v>38</v>
      </c>
      <c r="I165" s="9">
        <v>15.75</v>
      </c>
      <c r="J165" s="7" t="s">
        <v>134</v>
      </c>
      <c r="K165" s="7" t="s">
        <v>138</v>
      </c>
      <c r="L165" s="11" t="str">
        <f t="shared" ref="L165:L170" si="0">HYPERLINK("http://slimages.macys.com/is/image/MCY/15505440 ")</f>
        <v xml:space="preserve">http://slimages.macys.com/is/image/MCY/15505440 </v>
      </c>
    </row>
    <row r="166" spans="1:12" ht="48" x14ac:dyDescent="0.25">
      <c r="A166" s="10" t="s">
        <v>294</v>
      </c>
      <c r="B166" s="7" t="s">
        <v>287</v>
      </c>
      <c r="C166" s="8">
        <v>1</v>
      </c>
      <c r="D166" s="9">
        <v>52.5</v>
      </c>
      <c r="E166" s="9">
        <v>125</v>
      </c>
      <c r="F166" s="8">
        <v>250789730001</v>
      </c>
      <c r="G166" s="7" t="s">
        <v>184</v>
      </c>
      <c r="H166" s="10" t="s">
        <v>28</v>
      </c>
      <c r="I166" s="9">
        <v>15.75</v>
      </c>
      <c r="J166" s="7" t="s">
        <v>137</v>
      </c>
      <c r="K166" s="7" t="s">
        <v>138</v>
      </c>
      <c r="L166" s="11" t="str">
        <f t="shared" si="0"/>
        <v xml:space="preserve">http://slimages.macys.com/is/image/MCY/15505440 </v>
      </c>
    </row>
    <row r="167" spans="1:12" ht="48" x14ac:dyDescent="0.25">
      <c r="A167" s="10" t="s">
        <v>297</v>
      </c>
      <c r="B167" s="7" t="s">
        <v>287</v>
      </c>
      <c r="C167" s="8">
        <v>1</v>
      </c>
      <c r="D167" s="9">
        <v>52.5</v>
      </c>
      <c r="E167" s="9">
        <v>125</v>
      </c>
      <c r="F167" s="8">
        <v>251789730001</v>
      </c>
      <c r="G167" s="7" t="s">
        <v>184</v>
      </c>
      <c r="H167" s="10" t="s">
        <v>51</v>
      </c>
      <c r="I167" s="9">
        <v>15.75</v>
      </c>
      <c r="J167" s="7" t="s">
        <v>134</v>
      </c>
      <c r="K167" s="7" t="s">
        <v>138</v>
      </c>
      <c r="L167" s="11" t="str">
        <f t="shared" si="0"/>
        <v xml:space="preserve">http://slimages.macys.com/is/image/MCY/15505440 </v>
      </c>
    </row>
    <row r="168" spans="1:12" ht="48" x14ac:dyDescent="0.25">
      <c r="A168" s="10" t="s">
        <v>293</v>
      </c>
      <c r="B168" s="7" t="s">
        <v>287</v>
      </c>
      <c r="C168" s="8">
        <v>1</v>
      </c>
      <c r="D168" s="9">
        <v>52.5</v>
      </c>
      <c r="E168" s="9">
        <v>125</v>
      </c>
      <c r="F168" s="8">
        <v>250789730001</v>
      </c>
      <c r="G168" s="7" t="s">
        <v>184</v>
      </c>
      <c r="H168" s="10" t="s">
        <v>30</v>
      </c>
      <c r="I168" s="9">
        <v>15.75</v>
      </c>
      <c r="J168" s="7" t="s">
        <v>137</v>
      </c>
      <c r="K168" s="7" t="s">
        <v>138</v>
      </c>
      <c r="L168" s="11" t="str">
        <f t="shared" si="0"/>
        <v xml:space="preserve">http://slimages.macys.com/is/image/MCY/15505440 </v>
      </c>
    </row>
    <row r="169" spans="1:12" ht="48" x14ac:dyDescent="0.25">
      <c r="A169" s="10" t="s">
        <v>290</v>
      </c>
      <c r="B169" s="7" t="s">
        <v>287</v>
      </c>
      <c r="C169" s="8">
        <v>1</v>
      </c>
      <c r="D169" s="9">
        <v>52.5</v>
      </c>
      <c r="E169" s="9">
        <v>125</v>
      </c>
      <c r="F169" s="8">
        <v>251789730001</v>
      </c>
      <c r="G169" s="7" t="s">
        <v>184</v>
      </c>
      <c r="H169" s="10" t="s">
        <v>102</v>
      </c>
      <c r="I169" s="9">
        <v>15.75</v>
      </c>
      <c r="J169" s="7" t="s">
        <v>134</v>
      </c>
      <c r="K169" s="7" t="s">
        <v>138</v>
      </c>
      <c r="L169" s="11" t="str">
        <f t="shared" si="0"/>
        <v xml:space="preserve">http://slimages.macys.com/is/image/MCY/15505440 </v>
      </c>
    </row>
    <row r="170" spans="1:12" ht="48" x14ac:dyDescent="0.25">
      <c r="A170" s="10" t="s">
        <v>291</v>
      </c>
      <c r="B170" s="7" t="s">
        <v>287</v>
      </c>
      <c r="C170" s="8">
        <v>1</v>
      </c>
      <c r="D170" s="9">
        <v>52.5</v>
      </c>
      <c r="E170" s="9">
        <v>125</v>
      </c>
      <c r="F170" s="8">
        <v>250789730001</v>
      </c>
      <c r="G170" s="7" t="s">
        <v>184</v>
      </c>
      <c r="H170" s="10" t="s">
        <v>62</v>
      </c>
      <c r="I170" s="9">
        <v>15.75</v>
      </c>
      <c r="J170" s="7" t="s">
        <v>137</v>
      </c>
      <c r="K170" s="7" t="s">
        <v>138</v>
      </c>
      <c r="L170" s="11" t="str">
        <f t="shared" si="0"/>
        <v xml:space="preserve">http://slimages.macys.com/is/image/MCY/15505440 </v>
      </c>
    </row>
    <row r="171" spans="1:12" ht="48" x14ac:dyDescent="0.25">
      <c r="A171" s="10" t="s">
        <v>1557</v>
      </c>
      <c r="B171" s="7" t="s">
        <v>1556</v>
      </c>
      <c r="C171" s="8">
        <v>1</v>
      </c>
      <c r="D171" s="9">
        <v>24</v>
      </c>
      <c r="E171" s="9">
        <v>69</v>
      </c>
      <c r="F171" s="8" t="s">
        <v>1555</v>
      </c>
      <c r="G171" s="7" t="s">
        <v>27</v>
      </c>
      <c r="H171" s="10" t="s">
        <v>57</v>
      </c>
      <c r="I171" s="9">
        <v>7.2</v>
      </c>
      <c r="J171" s="7" t="s">
        <v>182</v>
      </c>
      <c r="K171" s="7" t="s">
        <v>219</v>
      </c>
      <c r="L171" s="11" t="str">
        <f>HYPERLINK("http://slimages.macys.com/is/image/MCY/15525392 ")</f>
        <v xml:space="preserve">http://slimages.macys.com/is/image/MCY/15525392 </v>
      </c>
    </row>
    <row r="172" spans="1:12" ht="60" x14ac:dyDescent="0.25">
      <c r="A172" s="10" t="s">
        <v>1554</v>
      </c>
      <c r="B172" s="7" t="s">
        <v>1553</v>
      </c>
      <c r="C172" s="8">
        <v>1</v>
      </c>
      <c r="D172" s="9">
        <v>63.6</v>
      </c>
      <c r="E172" s="9">
        <v>159</v>
      </c>
      <c r="F172" s="8" t="s">
        <v>1552</v>
      </c>
      <c r="G172" s="7" t="s">
        <v>326</v>
      </c>
      <c r="H172" s="10" t="s">
        <v>68</v>
      </c>
      <c r="I172" s="9">
        <v>19.079999999999998</v>
      </c>
      <c r="J172" s="7" t="s">
        <v>134</v>
      </c>
      <c r="K172" s="7" t="s">
        <v>100</v>
      </c>
      <c r="L172" s="11" t="str">
        <f>HYPERLINK("http://slimages.macys.com/is/image/MCY/14023020 ")</f>
        <v xml:space="preserve">http://slimages.macys.com/is/image/MCY/14023020 </v>
      </c>
    </row>
    <row r="173" spans="1:12" ht="48" x14ac:dyDescent="0.25">
      <c r="A173" s="10" t="s">
        <v>1551</v>
      </c>
      <c r="B173" s="7" t="s">
        <v>1550</v>
      </c>
      <c r="C173" s="8">
        <v>1</v>
      </c>
      <c r="D173" s="9">
        <v>29</v>
      </c>
      <c r="E173" s="9">
        <v>89</v>
      </c>
      <c r="F173" s="8" t="s">
        <v>1549</v>
      </c>
      <c r="G173" s="7" t="s">
        <v>27</v>
      </c>
      <c r="H173" s="10" t="s">
        <v>35</v>
      </c>
      <c r="I173" s="9">
        <v>8.6999999999999993</v>
      </c>
      <c r="J173" s="7" t="s">
        <v>182</v>
      </c>
      <c r="K173" s="7" t="s">
        <v>1548</v>
      </c>
      <c r="L173" s="11" t="str">
        <f>HYPERLINK("http://slimages.macys.com/is/image/MCY/15652047 ")</f>
        <v xml:space="preserve">http://slimages.macys.com/is/image/MCY/15652047 </v>
      </c>
    </row>
    <row r="174" spans="1:12" ht="48" x14ac:dyDescent="0.25">
      <c r="A174" s="10" t="s">
        <v>621</v>
      </c>
      <c r="B174" s="7" t="s">
        <v>620</v>
      </c>
      <c r="C174" s="8">
        <v>1</v>
      </c>
      <c r="D174" s="9">
        <v>29.5</v>
      </c>
      <c r="E174" s="9">
        <v>89</v>
      </c>
      <c r="F174" s="8" t="s">
        <v>619</v>
      </c>
      <c r="G174" s="7" t="s">
        <v>117</v>
      </c>
      <c r="H174" s="10"/>
      <c r="I174" s="9">
        <v>8.85</v>
      </c>
      <c r="J174" s="7" t="s">
        <v>382</v>
      </c>
      <c r="K174" s="7" t="s">
        <v>188</v>
      </c>
      <c r="L174" s="11" t="str">
        <f>HYPERLINK("http://slimages.macys.com/is/image/MCY/15575080 ")</f>
        <v xml:space="preserve">http://slimages.macys.com/is/image/MCY/15575080 </v>
      </c>
    </row>
    <row r="175" spans="1:12" ht="48" x14ac:dyDescent="0.25">
      <c r="A175" s="10" t="s">
        <v>1547</v>
      </c>
      <c r="B175" s="7" t="s">
        <v>1545</v>
      </c>
      <c r="C175" s="8">
        <v>1</v>
      </c>
      <c r="D175" s="9">
        <v>11.25</v>
      </c>
      <c r="E175" s="9">
        <v>29.99</v>
      </c>
      <c r="F175" s="8" t="s">
        <v>1544</v>
      </c>
      <c r="G175" s="7" t="s">
        <v>45</v>
      </c>
      <c r="H175" s="10" t="s">
        <v>212</v>
      </c>
      <c r="I175" s="9">
        <v>3.375</v>
      </c>
      <c r="J175" s="7" t="s">
        <v>496</v>
      </c>
      <c r="K175" s="7" t="s">
        <v>1543</v>
      </c>
      <c r="L175" s="11" t="str">
        <f>HYPERLINK("http://slimages.macys.com/is/image/MCY/15218079 ")</f>
        <v xml:space="preserve">http://slimages.macys.com/is/image/MCY/15218079 </v>
      </c>
    </row>
    <row r="176" spans="1:12" ht="48" x14ac:dyDescent="0.25">
      <c r="A176" s="10" t="s">
        <v>1546</v>
      </c>
      <c r="B176" s="7" t="s">
        <v>1545</v>
      </c>
      <c r="C176" s="8">
        <v>1</v>
      </c>
      <c r="D176" s="9">
        <v>11.25</v>
      </c>
      <c r="E176" s="9">
        <v>29.99</v>
      </c>
      <c r="F176" s="8" t="s">
        <v>1544</v>
      </c>
      <c r="G176" s="7" t="s">
        <v>45</v>
      </c>
      <c r="H176" s="10" t="s">
        <v>471</v>
      </c>
      <c r="I176" s="9">
        <v>3.375</v>
      </c>
      <c r="J176" s="7" t="s">
        <v>496</v>
      </c>
      <c r="K176" s="7" t="s">
        <v>1543</v>
      </c>
      <c r="L176" s="11" t="str">
        <f>HYPERLINK("http://slimages.macys.com/is/image/MCY/15218079 ")</f>
        <v xml:space="preserve">http://slimages.macys.com/is/image/MCY/15218079 </v>
      </c>
    </row>
    <row r="177" spans="1:12" ht="48" x14ac:dyDescent="0.25">
      <c r="A177" s="10" t="s">
        <v>1542</v>
      </c>
      <c r="B177" s="7" t="s">
        <v>1541</v>
      </c>
      <c r="C177" s="8">
        <v>1</v>
      </c>
      <c r="D177" s="9">
        <v>63.6</v>
      </c>
      <c r="E177" s="9">
        <v>159</v>
      </c>
      <c r="F177" s="8" t="s">
        <v>1540</v>
      </c>
      <c r="G177" s="7" t="s">
        <v>147</v>
      </c>
      <c r="H177" s="10" t="s">
        <v>186</v>
      </c>
      <c r="I177" s="9">
        <v>19.079999999999998</v>
      </c>
      <c r="J177" s="7" t="s">
        <v>187</v>
      </c>
      <c r="K177" s="7" t="s">
        <v>219</v>
      </c>
      <c r="L177" s="11" t="str">
        <f>HYPERLINK("http://slimages.macys.com/is/image/MCY/15394772 ")</f>
        <v xml:space="preserve">http://slimages.macys.com/is/image/MCY/15394772 </v>
      </c>
    </row>
    <row r="178" spans="1:12" ht="72" x14ac:dyDescent="0.25">
      <c r="A178" s="10" t="s">
        <v>1539</v>
      </c>
      <c r="B178" s="7" t="s">
        <v>599</v>
      </c>
      <c r="C178" s="8">
        <v>3</v>
      </c>
      <c r="D178" s="9">
        <v>22</v>
      </c>
      <c r="E178" s="9">
        <v>79</v>
      </c>
      <c r="F178" s="8" t="s">
        <v>598</v>
      </c>
      <c r="G178" s="7" t="s">
        <v>147</v>
      </c>
      <c r="H178" s="10" t="s">
        <v>442</v>
      </c>
      <c r="I178" s="9">
        <v>6.6</v>
      </c>
      <c r="J178" s="7" t="s">
        <v>382</v>
      </c>
      <c r="K178" s="7" t="s">
        <v>597</v>
      </c>
      <c r="L178" s="11" t="str">
        <f>HYPERLINK("http://slimages.macys.com/is/image/MCY/14876628 ")</f>
        <v xml:space="preserve">http://slimages.macys.com/is/image/MCY/14876628 </v>
      </c>
    </row>
    <row r="179" spans="1:12" ht="72" x14ac:dyDescent="0.25">
      <c r="A179" s="10" t="s">
        <v>600</v>
      </c>
      <c r="B179" s="7" t="s">
        <v>599</v>
      </c>
      <c r="C179" s="8">
        <v>1</v>
      </c>
      <c r="D179" s="9">
        <v>22</v>
      </c>
      <c r="E179" s="9">
        <v>79</v>
      </c>
      <c r="F179" s="8" t="s">
        <v>598</v>
      </c>
      <c r="G179" s="7" t="s">
        <v>147</v>
      </c>
      <c r="H179" s="10" t="s">
        <v>454</v>
      </c>
      <c r="I179" s="9">
        <v>6.6</v>
      </c>
      <c r="J179" s="7" t="s">
        <v>382</v>
      </c>
      <c r="K179" s="7" t="s">
        <v>597</v>
      </c>
      <c r="L179" s="11" t="str">
        <f>HYPERLINK("http://slimages.macys.com/is/image/MCY/14876628 ")</f>
        <v xml:space="preserve">http://slimages.macys.com/is/image/MCY/14876628 </v>
      </c>
    </row>
    <row r="180" spans="1:12" ht="72" x14ac:dyDescent="0.25">
      <c r="A180" s="10" t="s">
        <v>601</v>
      </c>
      <c r="B180" s="7" t="s">
        <v>599</v>
      </c>
      <c r="C180" s="8">
        <v>1</v>
      </c>
      <c r="D180" s="9">
        <v>22</v>
      </c>
      <c r="E180" s="9">
        <v>79</v>
      </c>
      <c r="F180" s="8" t="s">
        <v>598</v>
      </c>
      <c r="G180" s="7" t="s">
        <v>147</v>
      </c>
      <c r="H180" s="10" t="s">
        <v>402</v>
      </c>
      <c r="I180" s="9">
        <v>6.6</v>
      </c>
      <c r="J180" s="7" t="s">
        <v>382</v>
      </c>
      <c r="K180" s="7" t="s">
        <v>597</v>
      </c>
      <c r="L180" s="11" t="str">
        <f>HYPERLINK("http://slimages.macys.com/is/image/MCY/14876628 ")</f>
        <v xml:space="preserve">http://slimages.macys.com/is/image/MCY/14876628 </v>
      </c>
    </row>
    <row r="181" spans="1:12" ht="60" x14ac:dyDescent="0.25">
      <c r="A181" s="10" t="s">
        <v>420</v>
      </c>
      <c r="B181" s="7" t="s">
        <v>421</v>
      </c>
      <c r="C181" s="8">
        <v>1</v>
      </c>
      <c r="D181" s="9">
        <v>32.700000000000003</v>
      </c>
      <c r="E181" s="9">
        <v>109</v>
      </c>
      <c r="F181" s="8" t="s">
        <v>422</v>
      </c>
      <c r="G181" s="7" t="s">
        <v>211</v>
      </c>
      <c r="H181" s="10" t="s">
        <v>423</v>
      </c>
      <c r="I181" s="9">
        <v>9.81</v>
      </c>
      <c r="J181" s="7" t="s">
        <v>118</v>
      </c>
      <c r="K181" s="7" t="s">
        <v>424</v>
      </c>
      <c r="L181" s="11" t="str">
        <f>HYPERLINK("http://slimages.macys.com/is/image/MCY/15103887 ")</f>
        <v xml:space="preserve">http://slimages.macys.com/is/image/MCY/15103887 </v>
      </c>
    </row>
    <row r="182" spans="1:12" ht="72" x14ac:dyDescent="0.25">
      <c r="A182" s="10" t="s">
        <v>1538</v>
      </c>
      <c r="B182" s="7" t="s">
        <v>1537</v>
      </c>
      <c r="C182" s="8">
        <v>1</v>
      </c>
      <c r="D182" s="9">
        <v>35</v>
      </c>
      <c r="E182" s="9">
        <v>99</v>
      </c>
      <c r="F182" s="8" t="s">
        <v>1536</v>
      </c>
      <c r="G182" s="7" t="s">
        <v>27</v>
      </c>
      <c r="H182" s="10" t="s">
        <v>132</v>
      </c>
      <c r="I182" s="9">
        <v>10.5</v>
      </c>
      <c r="J182" s="7" t="s">
        <v>54</v>
      </c>
      <c r="K182" s="7" t="s">
        <v>1535</v>
      </c>
      <c r="L182" s="11" t="str">
        <f>HYPERLINK("http://slimages.macys.com/is/image/MCY/14817542 ")</f>
        <v xml:space="preserve">http://slimages.macys.com/is/image/MCY/14817542 </v>
      </c>
    </row>
    <row r="183" spans="1:12" ht="48" x14ac:dyDescent="0.25">
      <c r="A183" s="10" t="s">
        <v>1534</v>
      </c>
      <c r="B183" s="7" t="s">
        <v>528</v>
      </c>
      <c r="C183" s="8">
        <v>1</v>
      </c>
      <c r="D183" s="9">
        <v>17</v>
      </c>
      <c r="E183" s="9">
        <v>59</v>
      </c>
      <c r="F183" s="8" t="s">
        <v>529</v>
      </c>
      <c r="G183" s="7" t="s">
        <v>331</v>
      </c>
      <c r="H183" s="10" t="s">
        <v>471</v>
      </c>
      <c r="I183" s="9">
        <v>5.0999999999999996</v>
      </c>
      <c r="J183" s="7" t="s">
        <v>475</v>
      </c>
      <c r="K183" s="7" t="s">
        <v>61</v>
      </c>
      <c r="L183" s="11" t="str">
        <f>HYPERLINK("http://slimages.macys.com/is/image/MCY/12406131 ")</f>
        <v xml:space="preserve">http://slimages.macys.com/is/image/MCY/12406131 </v>
      </c>
    </row>
    <row r="184" spans="1:12" ht="96" x14ac:dyDescent="0.25">
      <c r="A184" s="10" t="s">
        <v>1533</v>
      </c>
      <c r="B184" s="7" t="s">
        <v>1532</v>
      </c>
      <c r="C184" s="8">
        <v>1</v>
      </c>
      <c r="D184" s="9">
        <v>27</v>
      </c>
      <c r="E184" s="9">
        <v>89</v>
      </c>
      <c r="F184" s="8" t="s">
        <v>1531</v>
      </c>
      <c r="G184" s="7" t="s">
        <v>63</v>
      </c>
      <c r="H184" s="10" t="s">
        <v>447</v>
      </c>
      <c r="I184" s="9">
        <v>8.1</v>
      </c>
      <c r="J184" s="7" t="s">
        <v>187</v>
      </c>
      <c r="K184" s="7" t="s">
        <v>238</v>
      </c>
      <c r="L184" s="11" t="str">
        <f>HYPERLINK("http://slimages.macys.com/is/image/MCY/15190480 ")</f>
        <v xml:space="preserve">http://slimages.macys.com/is/image/MCY/15190480 </v>
      </c>
    </row>
    <row r="185" spans="1:12" ht="48" x14ac:dyDescent="0.25">
      <c r="A185" s="10" t="s">
        <v>1530</v>
      </c>
      <c r="B185" s="7" t="s">
        <v>1529</v>
      </c>
      <c r="C185" s="8">
        <v>1</v>
      </c>
      <c r="D185" s="9">
        <v>47.6</v>
      </c>
      <c r="E185" s="9">
        <v>119</v>
      </c>
      <c r="F185" s="8" t="s">
        <v>1528</v>
      </c>
      <c r="G185" s="7" t="s">
        <v>114</v>
      </c>
      <c r="H185" s="10" t="s">
        <v>68</v>
      </c>
      <c r="I185" s="9">
        <v>14.28</v>
      </c>
      <c r="J185" s="7" t="s">
        <v>134</v>
      </c>
      <c r="K185" s="7" t="s">
        <v>219</v>
      </c>
      <c r="L185" s="11" t="str">
        <f>HYPERLINK("http://slimages.macys.com/is/image/MCY/13790919 ")</f>
        <v xml:space="preserve">http://slimages.macys.com/is/image/MCY/13790919 </v>
      </c>
    </row>
    <row r="186" spans="1:12" ht="48" x14ac:dyDescent="0.25">
      <c r="A186" s="10" t="s">
        <v>1527</v>
      </c>
      <c r="B186" s="7" t="s">
        <v>1526</v>
      </c>
      <c r="C186" s="8">
        <v>1</v>
      </c>
      <c r="D186" s="9">
        <v>68</v>
      </c>
      <c r="E186" s="9">
        <v>139</v>
      </c>
      <c r="F186" s="8" t="s">
        <v>1525</v>
      </c>
      <c r="G186" s="7" t="s">
        <v>119</v>
      </c>
      <c r="H186" s="10" t="s">
        <v>83</v>
      </c>
      <c r="I186" s="9">
        <v>20.399999999999999</v>
      </c>
      <c r="J186" s="7" t="s">
        <v>118</v>
      </c>
      <c r="K186" s="7" t="s">
        <v>52</v>
      </c>
      <c r="L186" s="11" t="str">
        <f>HYPERLINK("http://slimages.macys.com/is/image/MCY/14468730 ")</f>
        <v xml:space="preserve">http://slimages.macys.com/is/image/MCY/14468730 </v>
      </c>
    </row>
    <row r="187" spans="1:12" ht="48" x14ac:dyDescent="0.25">
      <c r="A187" s="10" t="s">
        <v>1524</v>
      </c>
      <c r="B187" s="7" t="s">
        <v>722</v>
      </c>
      <c r="C187" s="8">
        <v>1</v>
      </c>
      <c r="D187" s="9">
        <v>67.58</v>
      </c>
      <c r="E187" s="9">
        <v>159</v>
      </c>
      <c r="F187" s="8" t="s">
        <v>721</v>
      </c>
      <c r="G187" s="7" t="s">
        <v>526</v>
      </c>
      <c r="H187" s="10" t="s">
        <v>31</v>
      </c>
      <c r="I187" s="9">
        <v>20.274000000000001</v>
      </c>
      <c r="J187" s="7" t="s">
        <v>182</v>
      </c>
      <c r="K187" s="7" t="s">
        <v>138</v>
      </c>
      <c r="L187" s="11" t="str">
        <f>HYPERLINK("http://slimages.macys.com/is/image/MCY/14360279 ")</f>
        <v xml:space="preserve">http://slimages.macys.com/is/image/MCY/14360279 </v>
      </c>
    </row>
    <row r="188" spans="1:12" ht="48" x14ac:dyDescent="0.25">
      <c r="A188" s="10" t="s">
        <v>1523</v>
      </c>
      <c r="B188" s="7" t="s">
        <v>1522</v>
      </c>
      <c r="C188" s="8">
        <v>1</v>
      </c>
      <c r="D188" s="9">
        <v>45.15</v>
      </c>
      <c r="E188" s="9">
        <v>129</v>
      </c>
      <c r="F188" s="8">
        <v>9155112</v>
      </c>
      <c r="G188" s="7" t="s">
        <v>181</v>
      </c>
      <c r="H188" s="10" t="s">
        <v>28</v>
      </c>
      <c r="I188" s="9">
        <v>13.545</v>
      </c>
      <c r="J188" s="7" t="s">
        <v>54</v>
      </c>
      <c r="K188" s="7" t="s">
        <v>61</v>
      </c>
      <c r="L188" s="11" t="str">
        <f>HYPERLINK("http://slimages.macys.com/is/image/MCY/15297186 ")</f>
        <v xml:space="preserve">http://slimages.macys.com/is/image/MCY/15297186 </v>
      </c>
    </row>
    <row r="189" spans="1:12" ht="48" x14ac:dyDescent="0.25">
      <c r="A189" s="10" t="s">
        <v>1521</v>
      </c>
      <c r="B189" s="7" t="s">
        <v>217</v>
      </c>
      <c r="C189" s="8">
        <v>1</v>
      </c>
      <c r="D189" s="9">
        <v>62.3</v>
      </c>
      <c r="E189" s="9">
        <v>178</v>
      </c>
      <c r="F189" s="8" t="s">
        <v>218</v>
      </c>
      <c r="G189" s="7" t="s">
        <v>194</v>
      </c>
      <c r="H189" s="10" t="s">
        <v>57</v>
      </c>
      <c r="I189" s="9">
        <v>18.690000000000001</v>
      </c>
      <c r="J189" s="7" t="s">
        <v>54</v>
      </c>
      <c r="K189" s="7" t="s">
        <v>61</v>
      </c>
      <c r="L189" s="11" t="str">
        <f>HYPERLINK("http://slimages.macys.com/is/image/MCY/15218274 ")</f>
        <v xml:space="preserve">http://slimages.macys.com/is/image/MCY/15218274 </v>
      </c>
    </row>
    <row r="190" spans="1:12" ht="48" x14ac:dyDescent="0.25">
      <c r="A190" s="10" t="s">
        <v>1520</v>
      </c>
      <c r="B190" s="7" t="s">
        <v>217</v>
      </c>
      <c r="C190" s="8">
        <v>1</v>
      </c>
      <c r="D190" s="9">
        <v>62.3</v>
      </c>
      <c r="E190" s="9">
        <v>178</v>
      </c>
      <c r="F190" s="8" t="s">
        <v>218</v>
      </c>
      <c r="G190" s="7" t="s">
        <v>194</v>
      </c>
      <c r="H190" s="10" t="s">
        <v>35</v>
      </c>
      <c r="I190" s="9">
        <v>18.690000000000001</v>
      </c>
      <c r="J190" s="7" t="s">
        <v>54</v>
      </c>
      <c r="K190" s="7" t="s">
        <v>61</v>
      </c>
      <c r="L190" s="11" t="str">
        <f>HYPERLINK("http://slimages.macys.com/is/image/MCY/15218274 ")</f>
        <v xml:space="preserve">http://slimages.macys.com/is/image/MCY/15218274 </v>
      </c>
    </row>
    <row r="191" spans="1:12" ht="48" x14ac:dyDescent="0.25">
      <c r="A191" s="10" t="s">
        <v>1519</v>
      </c>
      <c r="B191" s="7" t="s">
        <v>1518</v>
      </c>
      <c r="C191" s="8">
        <v>1</v>
      </c>
      <c r="D191" s="9">
        <v>69.3</v>
      </c>
      <c r="E191" s="9">
        <v>165</v>
      </c>
      <c r="F191" s="8">
        <v>250767964001</v>
      </c>
      <c r="G191" s="7" t="s">
        <v>27</v>
      </c>
      <c r="H191" s="10" t="s">
        <v>30</v>
      </c>
      <c r="I191" s="9">
        <v>20.79</v>
      </c>
      <c r="J191" s="7" t="s">
        <v>137</v>
      </c>
      <c r="K191" s="7" t="s">
        <v>138</v>
      </c>
      <c r="L191" s="11" t="str">
        <f>HYPERLINK("http://slimages.macys.com/is/image/MCY/15197902 ")</f>
        <v xml:space="preserve">http://slimages.macys.com/is/image/MCY/15197902 </v>
      </c>
    </row>
    <row r="192" spans="1:12" ht="60" x14ac:dyDescent="0.25">
      <c r="A192" s="10" t="s">
        <v>1517</v>
      </c>
      <c r="B192" s="7" t="s">
        <v>1514</v>
      </c>
      <c r="C192" s="8">
        <v>1</v>
      </c>
      <c r="D192" s="9">
        <v>25</v>
      </c>
      <c r="E192" s="9">
        <v>79</v>
      </c>
      <c r="F192" s="8" t="s">
        <v>1513</v>
      </c>
      <c r="G192" s="7" t="s">
        <v>27</v>
      </c>
      <c r="H192" s="10" t="s">
        <v>1516</v>
      </c>
      <c r="I192" s="9">
        <v>7.5</v>
      </c>
      <c r="J192" s="7" t="s">
        <v>134</v>
      </c>
      <c r="K192" s="7" t="s">
        <v>36</v>
      </c>
      <c r="L192" s="11" t="str">
        <f>HYPERLINK("http://slimages.macys.com/is/image/MCY/15807133 ")</f>
        <v xml:space="preserve">http://slimages.macys.com/is/image/MCY/15807133 </v>
      </c>
    </row>
    <row r="193" spans="1:12" ht="60" x14ac:dyDescent="0.25">
      <c r="A193" s="10" t="s">
        <v>1515</v>
      </c>
      <c r="B193" s="7" t="s">
        <v>1514</v>
      </c>
      <c r="C193" s="8">
        <v>1</v>
      </c>
      <c r="D193" s="9">
        <v>25</v>
      </c>
      <c r="E193" s="9">
        <v>79</v>
      </c>
      <c r="F193" s="8" t="s">
        <v>1513</v>
      </c>
      <c r="G193" s="7" t="s">
        <v>27</v>
      </c>
      <c r="H193" s="10"/>
      <c r="I193" s="9">
        <v>7.5</v>
      </c>
      <c r="J193" s="7" t="s">
        <v>134</v>
      </c>
      <c r="K193" s="7" t="s">
        <v>36</v>
      </c>
      <c r="L193" s="11" t="str">
        <f>HYPERLINK("http://slimages.macys.com/is/image/MCY/15807133 ")</f>
        <v xml:space="preserve">http://slimages.macys.com/is/image/MCY/15807133 </v>
      </c>
    </row>
    <row r="194" spans="1:12" ht="48" x14ac:dyDescent="0.25">
      <c r="A194" s="10" t="s">
        <v>709</v>
      </c>
      <c r="B194" s="7" t="s">
        <v>708</v>
      </c>
      <c r="C194" s="8">
        <v>1</v>
      </c>
      <c r="D194" s="9">
        <v>55.94</v>
      </c>
      <c r="E194" s="9">
        <v>169</v>
      </c>
      <c r="F194" s="8" t="s">
        <v>707</v>
      </c>
      <c r="G194" s="7" t="s">
        <v>147</v>
      </c>
      <c r="H194" s="10" t="s">
        <v>447</v>
      </c>
      <c r="I194" s="9">
        <v>16.782</v>
      </c>
      <c r="J194" s="7" t="s">
        <v>65</v>
      </c>
      <c r="K194" s="7" t="s">
        <v>52</v>
      </c>
      <c r="L194" s="11" t="str">
        <f>HYPERLINK("http://slimages.macys.com/is/image/MCY/15009153 ")</f>
        <v xml:space="preserve">http://slimages.macys.com/is/image/MCY/15009153 </v>
      </c>
    </row>
    <row r="195" spans="1:12" ht="60" x14ac:dyDescent="0.25">
      <c r="A195" s="10" t="s">
        <v>1512</v>
      </c>
      <c r="B195" s="7" t="s">
        <v>594</v>
      </c>
      <c r="C195" s="8">
        <v>1</v>
      </c>
      <c r="D195" s="9">
        <v>21</v>
      </c>
      <c r="E195" s="9">
        <v>69</v>
      </c>
      <c r="F195" s="8" t="s">
        <v>593</v>
      </c>
      <c r="G195" s="7" t="s">
        <v>377</v>
      </c>
      <c r="H195" s="10" t="s">
        <v>405</v>
      </c>
      <c r="I195" s="9">
        <v>6.3</v>
      </c>
      <c r="J195" s="7" t="s">
        <v>382</v>
      </c>
      <c r="K195" s="7" t="s">
        <v>456</v>
      </c>
      <c r="L195" s="11" t="str">
        <f>HYPERLINK("http://slimages.macys.com/is/image/MCY/15179119 ")</f>
        <v xml:space="preserve">http://slimages.macys.com/is/image/MCY/15179119 </v>
      </c>
    </row>
    <row r="196" spans="1:12" ht="60" x14ac:dyDescent="0.25">
      <c r="A196" s="10" t="s">
        <v>1511</v>
      </c>
      <c r="B196" s="7" t="s">
        <v>1510</v>
      </c>
      <c r="C196" s="8">
        <v>1</v>
      </c>
      <c r="D196" s="9">
        <v>26</v>
      </c>
      <c r="E196" s="9">
        <v>79</v>
      </c>
      <c r="F196" s="8" t="s">
        <v>1509</v>
      </c>
      <c r="G196" s="7" t="s">
        <v>202</v>
      </c>
      <c r="H196" s="10" t="s">
        <v>40</v>
      </c>
      <c r="I196" s="9">
        <v>7.8</v>
      </c>
      <c r="J196" s="7" t="s">
        <v>39</v>
      </c>
      <c r="K196" s="7" t="s">
        <v>1508</v>
      </c>
      <c r="L196" s="11" t="str">
        <f>HYPERLINK("http://slimages.macys.com/is/image/MCY/15148339 ")</f>
        <v xml:space="preserve">http://slimages.macys.com/is/image/MCY/15148339 </v>
      </c>
    </row>
    <row r="197" spans="1:12" ht="72" x14ac:dyDescent="0.25">
      <c r="A197" s="10" t="s">
        <v>1507</v>
      </c>
      <c r="B197" s="7" t="s">
        <v>1506</v>
      </c>
      <c r="C197" s="8">
        <v>1</v>
      </c>
      <c r="D197" s="9">
        <v>38</v>
      </c>
      <c r="E197" s="9">
        <v>109</v>
      </c>
      <c r="F197" s="8" t="s">
        <v>1505</v>
      </c>
      <c r="G197" s="7" t="s">
        <v>114</v>
      </c>
      <c r="H197" s="10" t="s">
        <v>402</v>
      </c>
      <c r="I197" s="9">
        <v>11.4</v>
      </c>
      <c r="J197" s="7" t="s">
        <v>382</v>
      </c>
      <c r="K197" s="7" t="s">
        <v>448</v>
      </c>
      <c r="L197" s="11" t="str">
        <f>HYPERLINK("http://slimages.macys.com/is/image/MCY/13805327 ")</f>
        <v xml:space="preserve">http://slimages.macys.com/is/image/MCY/13805327 </v>
      </c>
    </row>
    <row r="198" spans="1:12" ht="48" x14ac:dyDescent="0.25">
      <c r="A198" s="10" t="s">
        <v>1504</v>
      </c>
      <c r="B198" s="7" t="s">
        <v>541</v>
      </c>
      <c r="C198" s="8">
        <v>1</v>
      </c>
      <c r="D198" s="9">
        <v>15</v>
      </c>
      <c r="E198" s="9">
        <v>69</v>
      </c>
      <c r="F198" s="8" t="s">
        <v>542</v>
      </c>
      <c r="G198" s="7"/>
      <c r="H198" s="10" t="s">
        <v>480</v>
      </c>
      <c r="I198" s="9">
        <v>4.5</v>
      </c>
      <c r="J198" s="7" t="s">
        <v>475</v>
      </c>
      <c r="K198" s="7" t="s">
        <v>543</v>
      </c>
      <c r="L198" s="11" t="str">
        <f>HYPERLINK("http://slimages.macys.com/is/image/MCY/8755993 ")</f>
        <v xml:space="preserve">http://slimages.macys.com/is/image/MCY/8755993 </v>
      </c>
    </row>
    <row r="199" spans="1:12" ht="48" x14ac:dyDescent="0.25">
      <c r="A199" s="10" t="s">
        <v>1503</v>
      </c>
      <c r="B199" s="7" t="s">
        <v>1502</v>
      </c>
      <c r="C199" s="8">
        <v>1</v>
      </c>
      <c r="D199" s="9">
        <v>34.65</v>
      </c>
      <c r="E199" s="9">
        <v>99</v>
      </c>
      <c r="F199" s="8" t="s">
        <v>472</v>
      </c>
      <c r="G199" s="7" t="s">
        <v>27</v>
      </c>
      <c r="H199" s="10" t="s">
        <v>35</v>
      </c>
      <c r="I199" s="9">
        <v>10.395</v>
      </c>
      <c r="J199" s="7" t="s">
        <v>183</v>
      </c>
      <c r="K199" s="7" t="s">
        <v>219</v>
      </c>
      <c r="L199" s="11" t="str">
        <f>HYPERLINK("http://slimages.macys.com/is/image/MCY/12117314 ")</f>
        <v xml:space="preserve">http://slimages.macys.com/is/image/MCY/12117314 </v>
      </c>
    </row>
    <row r="200" spans="1:12" ht="48" x14ac:dyDescent="0.25">
      <c r="A200" s="10" t="s">
        <v>1501</v>
      </c>
      <c r="B200" s="7" t="s">
        <v>1500</v>
      </c>
      <c r="C200" s="8">
        <v>1</v>
      </c>
      <c r="D200" s="9">
        <v>40</v>
      </c>
      <c r="E200" s="9">
        <v>89.98</v>
      </c>
      <c r="F200" s="8" t="s">
        <v>1499</v>
      </c>
      <c r="G200" s="7" t="s">
        <v>189</v>
      </c>
      <c r="H200" s="10" t="s">
        <v>30</v>
      </c>
      <c r="I200" s="9">
        <v>12</v>
      </c>
      <c r="J200" s="7" t="s">
        <v>237</v>
      </c>
      <c r="K200" s="7" t="s">
        <v>626</v>
      </c>
      <c r="L200" s="11" t="str">
        <f>HYPERLINK("http://slimages.macys.com/is/image/MCY/9785470 ")</f>
        <v xml:space="preserve">http://slimages.macys.com/is/image/MCY/9785470 </v>
      </c>
    </row>
    <row r="201" spans="1:12" ht="48" x14ac:dyDescent="0.25">
      <c r="A201" s="10" t="s">
        <v>1498</v>
      </c>
      <c r="B201" s="7" t="s">
        <v>1497</v>
      </c>
      <c r="C201" s="8">
        <v>1</v>
      </c>
      <c r="D201" s="9">
        <v>47.6</v>
      </c>
      <c r="E201" s="9">
        <v>119</v>
      </c>
      <c r="F201" s="8" t="s">
        <v>1496</v>
      </c>
      <c r="G201" s="7" t="s">
        <v>71</v>
      </c>
      <c r="H201" s="10" t="s">
        <v>31</v>
      </c>
      <c r="I201" s="9">
        <v>14.28</v>
      </c>
      <c r="J201" s="7" t="s">
        <v>249</v>
      </c>
      <c r="K201" s="7" t="s">
        <v>219</v>
      </c>
      <c r="L201" s="11" t="str">
        <f>HYPERLINK("http://slimages.macys.com/is/image/MCY/15652623 ")</f>
        <v xml:space="preserve">http://slimages.macys.com/is/image/MCY/15652623 </v>
      </c>
    </row>
    <row r="202" spans="1:12" ht="60" x14ac:dyDescent="0.25">
      <c r="A202" s="10" t="s">
        <v>1495</v>
      </c>
      <c r="B202" s="7" t="s">
        <v>1494</v>
      </c>
      <c r="C202" s="8">
        <v>2</v>
      </c>
      <c r="D202" s="9">
        <v>76.08</v>
      </c>
      <c r="E202" s="9">
        <v>189</v>
      </c>
      <c r="F202" s="8" t="s">
        <v>1493</v>
      </c>
      <c r="G202" s="7" t="s">
        <v>181</v>
      </c>
      <c r="H202" s="10" t="s">
        <v>1492</v>
      </c>
      <c r="I202" s="9">
        <v>22.824000000000002</v>
      </c>
      <c r="J202" s="7" t="s">
        <v>118</v>
      </c>
      <c r="K202" s="7" t="s">
        <v>36</v>
      </c>
      <c r="L202" s="11" t="str">
        <f>HYPERLINK("http://slimages.macys.com/is/image/MCY/11558803 ")</f>
        <v xml:space="preserve">http://slimages.macys.com/is/image/MCY/11558803 </v>
      </c>
    </row>
    <row r="203" spans="1:12" ht="48" x14ac:dyDescent="0.25">
      <c r="A203" s="10" t="s">
        <v>1491</v>
      </c>
      <c r="B203" s="7" t="s">
        <v>1490</v>
      </c>
      <c r="C203" s="8">
        <v>1</v>
      </c>
      <c r="D203" s="9">
        <v>20</v>
      </c>
      <c r="E203" s="9">
        <v>50.99</v>
      </c>
      <c r="F203" s="8" t="s">
        <v>1489</v>
      </c>
      <c r="G203" s="7"/>
      <c r="H203" s="10" t="s">
        <v>89</v>
      </c>
      <c r="I203" s="9">
        <v>6</v>
      </c>
      <c r="J203" s="7" t="s">
        <v>496</v>
      </c>
      <c r="K203" s="7" t="s">
        <v>61</v>
      </c>
      <c r="L203" s="11" t="str">
        <f>HYPERLINK("http://slimages.macys.com/is/image/MCY/14021260 ")</f>
        <v xml:space="preserve">http://slimages.macys.com/is/image/MCY/14021260 </v>
      </c>
    </row>
    <row r="204" spans="1:12" ht="60" x14ac:dyDescent="0.25">
      <c r="A204" s="10" t="s">
        <v>1488</v>
      </c>
      <c r="B204" s="7" t="s">
        <v>1487</v>
      </c>
      <c r="C204" s="8">
        <v>1</v>
      </c>
      <c r="D204" s="9">
        <v>22</v>
      </c>
      <c r="E204" s="9">
        <v>69</v>
      </c>
      <c r="F204" s="8" t="s">
        <v>1486</v>
      </c>
      <c r="G204" s="7" t="s">
        <v>202</v>
      </c>
      <c r="H204" s="10" t="s">
        <v>441</v>
      </c>
      <c r="I204" s="9">
        <v>6.6</v>
      </c>
      <c r="J204" s="7" t="s">
        <v>382</v>
      </c>
      <c r="K204" s="7" t="s">
        <v>100</v>
      </c>
      <c r="L204" s="11" t="str">
        <f>HYPERLINK("http://slimages.macys.com/is/image/MCY/15146423 ")</f>
        <v xml:space="preserve">http://slimages.macys.com/is/image/MCY/15146423 </v>
      </c>
    </row>
    <row r="205" spans="1:12" ht="48" x14ac:dyDescent="0.25">
      <c r="A205" s="10" t="s">
        <v>1485</v>
      </c>
      <c r="B205" s="7" t="s">
        <v>1484</v>
      </c>
      <c r="C205" s="8">
        <v>1</v>
      </c>
      <c r="D205" s="9">
        <v>22.5</v>
      </c>
      <c r="E205" s="9">
        <v>69</v>
      </c>
      <c r="F205" s="8" t="s">
        <v>1483</v>
      </c>
      <c r="G205" s="7" t="s">
        <v>331</v>
      </c>
      <c r="H205" s="10"/>
      <c r="I205" s="9">
        <v>6.75</v>
      </c>
      <c r="J205" s="7" t="s">
        <v>382</v>
      </c>
      <c r="K205" s="7" t="s">
        <v>72</v>
      </c>
      <c r="L205" s="11" t="str">
        <f>HYPERLINK("http://slimages.macys.com/is/image/MCY/15571715 ")</f>
        <v xml:space="preserve">http://slimages.macys.com/is/image/MCY/15571715 </v>
      </c>
    </row>
    <row r="206" spans="1:12" ht="96" x14ac:dyDescent="0.25">
      <c r="A206" s="10" t="s">
        <v>1482</v>
      </c>
      <c r="B206" s="7" t="s">
        <v>1481</v>
      </c>
      <c r="C206" s="8">
        <v>1</v>
      </c>
      <c r="D206" s="9">
        <v>22.5</v>
      </c>
      <c r="E206" s="9">
        <v>69</v>
      </c>
      <c r="F206" s="8" t="s">
        <v>1480</v>
      </c>
      <c r="G206" s="7" t="s">
        <v>27</v>
      </c>
      <c r="H206" s="10"/>
      <c r="I206" s="9">
        <v>6.75</v>
      </c>
      <c r="J206" s="7" t="s">
        <v>382</v>
      </c>
      <c r="K206" s="7" t="s">
        <v>1479</v>
      </c>
      <c r="L206" s="11" t="str">
        <f>HYPERLINK("http://slimages.macys.com/is/image/MCY/13387234 ")</f>
        <v xml:space="preserve">http://slimages.macys.com/is/image/MCY/13387234 </v>
      </c>
    </row>
    <row r="207" spans="1:12" ht="48" x14ac:dyDescent="0.25">
      <c r="A207" s="10" t="s">
        <v>1478</v>
      </c>
      <c r="B207" s="7" t="s">
        <v>1475</v>
      </c>
      <c r="C207" s="8">
        <v>2</v>
      </c>
      <c r="D207" s="9">
        <v>28.5</v>
      </c>
      <c r="E207" s="9">
        <v>89</v>
      </c>
      <c r="F207" s="8" t="s">
        <v>1474</v>
      </c>
      <c r="G207" s="7"/>
      <c r="H207" s="10"/>
      <c r="I207" s="9">
        <v>8.5500000000000007</v>
      </c>
      <c r="J207" s="7" t="s">
        <v>382</v>
      </c>
      <c r="K207" s="7" t="s">
        <v>569</v>
      </c>
      <c r="L207" s="11" t="str">
        <f>HYPERLINK("http://slimages.macys.com/is/image/MCY/15720766 ")</f>
        <v xml:space="preserve">http://slimages.macys.com/is/image/MCY/15720766 </v>
      </c>
    </row>
    <row r="208" spans="1:12" ht="48" x14ac:dyDescent="0.25">
      <c r="A208" s="10" t="s">
        <v>1477</v>
      </c>
      <c r="B208" s="7" t="s">
        <v>1475</v>
      </c>
      <c r="C208" s="8">
        <v>3</v>
      </c>
      <c r="D208" s="9">
        <v>28.5</v>
      </c>
      <c r="E208" s="9">
        <v>89</v>
      </c>
      <c r="F208" s="8" t="s">
        <v>1474</v>
      </c>
      <c r="G208" s="7"/>
      <c r="H208" s="10"/>
      <c r="I208" s="9">
        <v>8.5500000000000007</v>
      </c>
      <c r="J208" s="7" t="s">
        <v>382</v>
      </c>
      <c r="K208" s="7" t="s">
        <v>569</v>
      </c>
      <c r="L208" s="11" t="str">
        <f>HYPERLINK("http://slimages.macys.com/is/image/MCY/15720766 ")</f>
        <v xml:space="preserve">http://slimages.macys.com/is/image/MCY/15720766 </v>
      </c>
    </row>
    <row r="209" spans="1:12" ht="48" x14ac:dyDescent="0.25">
      <c r="A209" s="10" t="s">
        <v>1476</v>
      </c>
      <c r="B209" s="7" t="s">
        <v>1475</v>
      </c>
      <c r="C209" s="8">
        <v>2</v>
      </c>
      <c r="D209" s="9">
        <v>28.5</v>
      </c>
      <c r="E209" s="9">
        <v>89</v>
      </c>
      <c r="F209" s="8" t="s">
        <v>1474</v>
      </c>
      <c r="G209" s="7"/>
      <c r="H209" s="10"/>
      <c r="I209" s="9">
        <v>8.5500000000000007</v>
      </c>
      <c r="J209" s="7" t="s">
        <v>382</v>
      </c>
      <c r="K209" s="7" t="s">
        <v>569</v>
      </c>
      <c r="L209" s="11" t="str">
        <f>HYPERLINK("http://slimages.macys.com/is/image/MCY/15720766 ")</f>
        <v xml:space="preserve">http://slimages.macys.com/is/image/MCY/15720766 </v>
      </c>
    </row>
    <row r="210" spans="1:12" ht="48" x14ac:dyDescent="0.25">
      <c r="A210" s="10" t="s">
        <v>1473</v>
      </c>
      <c r="B210" s="7" t="s">
        <v>1472</v>
      </c>
      <c r="C210" s="8">
        <v>1</v>
      </c>
      <c r="D210" s="9">
        <v>26</v>
      </c>
      <c r="E210" s="9">
        <v>79</v>
      </c>
      <c r="F210" s="8" t="s">
        <v>1471</v>
      </c>
      <c r="G210" s="7" t="s">
        <v>326</v>
      </c>
      <c r="H210" s="10" t="s">
        <v>441</v>
      </c>
      <c r="I210" s="9">
        <v>7.8</v>
      </c>
      <c r="J210" s="7" t="s">
        <v>382</v>
      </c>
      <c r="K210" s="7" t="s">
        <v>61</v>
      </c>
      <c r="L210" s="11" t="str">
        <f>HYPERLINK("http://slimages.macys.com/is/image/MCY/15799632 ")</f>
        <v xml:space="preserve">http://slimages.macys.com/is/image/MCY/15799632 </v>
      </c>
    </row>
    <row r="211" spans="1:12" ht="48" x14ac:dyDescent="0.25">
      <c r="A211" s="10" t="s">
        <v>84</v>
      </c>
      <c r="B211" s="7" t="s">
        <v>85</v>
      </c>
      <c r="C211" s="8">
        <v>1</v>
      </c>
      <c r="D211" s="9">
        <v>97.33</v>
      </c>
      <c r="E211" s="9">
        <v>229</v>
      </c>
      <c r="F211" s="8" t="s">
        <v>86</v>
      </c>
      <c r="G211" s="7" t="s">
        <v>60</v>
      </c>
      <c r="H211" s="10" t="s">
        <v>53</v>
      </c>
      <c r="I211" s="9">
        <v>29.199000000000002</v>
      </c>
      <c r="J211" s="7" t="s">
        <v>29</v>
      </c>
      <c r="K211" s="7" t="s">
        <v>87</v>
      </c>
      <c r="L211" s="11" t="str">
        <f>HYPERLINK("http://slimages.macys.com/is/image/MCY/14468565 ")</f>
        <v xml:space="preserve">http://slimages.macys.com/is/image/MCY/14468565 </v>
      </c>
    </row>
    <row r="212" spans="1:12" ht="72" x14ac:dyDescent="0.25">
      <c r="A212" s="10" t="s">
        <v>1470</v>
      </c>
      <c r="B212" s="7" t="s">
        <v>1469</v>
      </c>
      <c r="C212" s="8">
        <v>1</v>
      </c>
      <c r="D212" s="9">
        <v>84.75</v>
      </c>
      <c r="E212" s="9">
        <v>209</v>
      </c>
      <c r="F212" s="8" t="s">
        <v>1468</v>
      </c>
      <c r="G212" s="7" t="s">
        <v>114</v>
      </c>
      <c r="H212" s="10" t="s">
        <v>25</v>
      </c>
      <c r="I212" s="9">
        <v>25.425000000000001</v>
      </c>
      <c r="J212" s="7" t="s">
        <v>43</v>
      </c>
      <c r="K212" s="7" t="s">
        <v>280</v>
      </c>
      <c r="L212" s="11" t="str">
        <f>HYPERLINK("http://slimages.macys.com/is/image/MCY/15329943 ")</f>
        <v xml:space="preserve">http://slimages.macys.com/is/image/MCY/15329943 </v>
      </c>
    </row>
    <row r="213" spans="1:12" ht="48" x14ac:dyDescent="0.25">
      <c r="A213" s="10" t="s">
        <v>1467</v>
      </c>
      <c r="B213" s="7" t="s">
        <v>1466</v>
      </c>
      <c r="C213" s="8">
        <v>1</v>
      </c>
      <c r="D213" s="9">
        <v>30.23</v>
      </c>
      <c r="E213" s="9">
        <v>89.98</v>
      </c>
      <c r="F213" s="8" t="s">
        <v>1465</v>
      </c>
      <c r="G213" s="7" t="s">
        <v>377</v>
      </c>
      <c r="H213" s="10" t="s">
        <v>30</v>
      </c>
      <c r="I213" s="9">
        <v>9.0690000000000008</v>
      </c>
      <c r="J213" s="7" t="s">
        <v>237</v>
      </c>
      <c r="K213" s="7" t="s">
        <v>219</v>
      </c>
      <c r="L213" s="11" t="str">
        <f>HYPERLINK("http://slimages.macys.com/is/image/MCY/13065990 ")</f>
        <v xml:space="preserve">http://slimages.macys.com/is/image/MCY/13065990 </v>
      </c>
    </row>
    <row r="214" spans="1:12" ht="72" x14ac:dyDescent="0.25">
      <c r="A214" s="10" t="s">
        <v>1464</v>
      </c>
      <c r="B214" s="7" t="s">
        <v>1463</v>
      </c>
      <c r="C214" s="8">
        <v>1</v>
      </c>
      <c r="D214" s="9">
        <v>34</v>
      </c>
      <c r="E214" s="9">
        <v>89</v>
      </c>
      <c r="F214" s="8" t="s">
        <v>1462</v>
      </c>
      <c r="G214" s="7" t="s">
        <v>27</v>
      </c>
      <c r="H214" s="10" t="s">
        <v>38</v>
      </c>
      <c r="I214" s="9">
        <v>10.199999999999999</v>
      </c>
      <c r="J214" s="7" t="s">
        <v>134</v>
      </c>
      <c r="K214" s="7" t="s">
        <v>160</v>
      </c>
      <c r="L214" s="11" t="str">
        <f>HYPERLINK("http://slimages.macys.com/is/image/MCY/14606667 ")</f>
        <v xml:space="preserve">http://slimages.macys.com/is/image/MCY/14606667 </v>
      </c>
    </row>
    <row r="215" spans="1:12" ht="60" x14ac:dyDescent="0.25">
      <c r="A215" s="10" t="s">
        <v>1461</v>
      </c>
      <c r="B215" s="7" t="s">
        <v>1458</v>
      </c>
      <c r="C215" s="8">
        <v>1</v>
      </c>
      <c r="D215" s="9">
        <v>51.6</v>
      </c>
      <c r="E215" s="9">
        <v>129</v>
      </c>
      <c r="F215" s="8" t="s">
        <v>1460</v>
      </c>
      <c r="G215" s="7" t="s">
        <v>27</v>
      </c>
      <c r="H215" s="10" t="s">
        <v>115</v>
      </c>
      <c r="I215" s="9">
        <v>15.48</v>
      </c>
      <c r="J215" s="7" t="s">
        <v>187</v>
      </c>
      <c r="K215" s="7" t="s">
        <v>36</v>
      </c>
      <c r="L215" s="11" t="str">
        <f>HYPERLINK("http://slimages.macys.com/is/image/MCY/14473065 ")</f>
        <v xml:space="preserve">http://slimages.macys.com/is/image/MCY/14473065 </v>
      </c>
    </row>
    <row r="216" spans="1:12" ht="48" x14ac:dyDescent="0.25">
      <c r="A216" s="10" t="s">
        <v>1459</v>
      </c>
      <c r="B216" s="7" t="s">
        <v>1458</v>
      </c>
      <c r="C216" s="8">
        <v>1</v>
      </c>
      <c r="D216" s="9">
        <v>47.6</v>
      </c>
      <c r="E216" s="9">
        <v>119</v>
      </c>
      <c r="F216" s="8" t="s">
        <v>1457</v>
      </c>
      <c r="G216" s="7" t="s">
        <v>27</v>
      </c>
      <c r="H216" s="10" t="s">
        <v>68</v>
      </c>
      <c r="I216" s="9">
        <v>14.28</v>
      </c>
      <c r="J216" s="7" t="s">
        <v>134</v>
      </c>
      <c r="K216" s="7" t="s">
        <v>61</v>
      </c>
      <c r="L216" s="11" t="str">
        <f>HYPERLINK("http://slimages.macys.com/is/image/MCY/14426263 ")</f>
        <v xml:space="preserve">http://slimages.macys.com/is/image/MCY/14426263 </v>
      </c>
    </row>
    <row r="217" spans="1:12" ht="48" x14ac:dyDescent="0.25">
      <c r="A217" s="10" t="s">
        <v>1456</v>
      </c>
      <c r="B217" s="7" t="s">
        <v>1455</v>
      </c>
      <c r="C217" s="8">
        <v>1</v>
      </c>
      <c r="D217" s="9">
        <v>51.43</v>
      </c>
      <c r="E217" s="9">
        <v>139</v>
      </c>
      <c r="F217" s="8" t="s">
        <v>1454</v>
      </c>
      <c r="G217" s="7" t="s">
        <v>27</v>
      </c>
      <c r="H217" s="10" t="s">
        <v>35</v>
      </c>
      <c r="I217" s="9">
        <v>15.429</v>
      </c>
      <c r="J217" s="7" t="s">
        <v>75</v>
      </c>
      <c r="K217" s="7" t="s">
        <v>219</v>
      </c>
      <c r="L217" s="11" t="str">
        <f>HYPERLINK("http://slimages.macys.com/is/image/MCY/14635535 ")</f>
        <v xml:space="preserve">http://slimages.macys.com/is/image/MCY/14635535 </v>
      </c>
    </row>
    <row r="218" spans="1:12" ht="48" x14ac:dyDescent="0.25">
      <c r="A218" s="10" t="s">
        <v>1453</v>
      </c>
      <c r="B218" s="7" t="s">
        <v>283</v>
      </c>
      <c r="C218" s="8">
        <v>1</v>
      </c>
      <c r="D218" s="9">
        <v>53</v>
      </c>
      <c r="E218" s="9">
        <v>139</v>
      </c>
      <c r="F218" s="8" t="s">
        <v>284</v>
      </c>
      <c r="G218" s="7" t="s">
        <v>27</v>
      </c>
      <c r="H218" s="10" t="s">
        <v>53</v>
      </c>
      <c r="I218" s="9">
        <v>15.9</v>
      </c>
      <c r="J218" s="7" t="s">
        <v>237</v>
      </c>
      <c r="K218" s="7" t="s">
        <v>219</v>
      </c>
      <c r="L218" s="11" t="str">
        <f>HYPERLINK("http://slimages.macys.com/is/image/MCY/15548065 ")</f>
        <v xml:space="preserve">http://slimages.macys.com/is/image/MCY/15548065 </v>
      </c>
    </row>
    <row r="219" spans="1:12" ht="48" x14ac:dyDescent="0.25">
      <c r="A219" s="10" t="s">
        <v>1452</v>
      </c>
      <c r="B219" s="7" t="s">
        <v>1448</v>
      </c>
      <c r="C219" s="8">
        <v>1</v>
      </c>
      <c r="D219" s="9">
        <v>25.5</v>
      </c>
      <c r="E219" s="9">
        <v>79</v>
      </c>
      <c r="F219" s="8">
        <v>701721</v>
      </c>
      <c r="G219" s="7" t="s">
        <v>27</v>
      </c>
      <c r="H219" s="10"/>
      <c r="I219" s="9">
        <v>7.65</v>
      </c>
      <c r="J219" s="7" t="s">
        <v>382</v>
      </c>
      <c r="K219" s="7" t="s">
        <v>46</v>
      </c>
      <c r="L219" s="11" t="str">
        <f>HYPERLINK("http://slimages.macys.com/is/image/MCY/15568858 ")</f>
        <v xml:space="preserve">http://slimages.macys.com/is/image/MCY/15568858 </v>
      </c>
    </row>
    <row r="220" spans="1:12" ht="48" x14ac:dyDescent="0.25">
      <c r="A220" s="10" t="s">
        <v>1451</v>
      </c>
      <c r="B220" s="7" t="s">
        <v>1448</v>
      </c>
      <c r="C220" s="8">
        <v>2</v>
      </c>
      <c r="D220" s="9">
        <v>25.5</v>
      </c>
      <c r="E220" s="9">
        <v>79</v>
      </c>
      <c r="F220" s="8">
        <v>701721</v>
      </c>
      <c r="G220" s="7" t="s">
        <v>27</v>
      </c>
      <c r="H220" s="10" t="s">
        <v>568</v>
      </c>
      <c r="I220" s="9">
        <v>7.65</v>
      </c>
      <c r="J220" s="7" t="s">
        <v>382</v>
      </c>
      <c r="K220" s="7" t="s">
        <v>46</v>
      </c>
      <c r="L220" s="11" t="str">
        <f>HYPERLINK("http://slimages.macys.com/is/image/MCY/15568858 ")</f>
        <v xml:space="preserve">http://slimages.macys.com/is/image/MCY/15568858 </v>
      </c>
    </row>
    <row r="221" spans="1:12" ht="48" x14ac:dyDescent="0.25">
      <c r="A221" s="10" t="s">
        <v>1450</v>
      </c>
      <c r="B221" s="7" t="s">
        <v>1448</v>
      </c>
      <c r="C221" s="8">
        <v>1</v>
      </c>
      <c r="D221" s="9">
        <v>25.5</v>
      </c>
      <c r="E221" s="9">
        <v>79</v>
      </c>
      <c r="F221" s="8">
        <v>701721</v>
      </c>
      <c r="G221" s="7" t="s">
        <v>27</v>
      </c>
      <c r="H221" s="10" t="s">
        <v>390</v>
      </c>
      <c r="I221" s="9">
        <v>7.65</v>
      </c>
      <c r="J221" s="7" t="s">
        <v>382</v>
      </c>
      <c r="K221" s="7" t="s">
        <v>46</v>
      </c>
      <c r="L221" s="11" t="str">
        <f>HYPERLINK("http://slimages.macys.com/is/image/MCY/15568858 ")</f>
        <v xml:space="preserve">http://slimages.macys.com/is/image/MCY/15568858 </v>
      </c>
    </row>
    <row r="222" spans="1:12" ht="48" x14ac:dyDescent="0.25">
      <c r="A222" s="10" t="s">
        <v>1449</v>
      </c>
      <c r="B222" s="7" t="s">
        <v>1448</v>
      </c>
      <c r="C222" s="8">
        <v>1</v>
      </c>
      <c r="D222" s="9">
        <v>25.5</v>
      </c>
      <c r="E222" s="9">
        <v>79</v>
      </c>
      <c r="F222" s="8">
        <v>701721</v>
      </c>
      <c r="G222" s="7" t="s">
        <v>27</v>
      </c>
      <c r="H222" s="10" t="s">
        <v>455</v>
      </c>
      <c r="I222" s="9">
        <v>7.65</v>
      </c>
      <c r="J222" s="7" t="s">
        <v>382</v>
      </c>
      <c r="K222" s="7" t="s">
        <v>46</v>
      </c>
      <c r="L222" s="11" t="str">
        <f>HYPERLINK("http://slimages.macys.com/is/image/MCY/15568858 ")</f>
        <v xml:space="preserve">http://slimages.macys.com/is/image/MCY/15568858 </v>
      </c>
    </row>
    <row r="223" spans="1:12" ht="48" x14ac:dyDescent="0.25">
      <c r="A223" s="10" t="s">
        <v>172</v>
      </c>
      <c r="B223" s="7" t="s">
        <v>173</v>
      </c>
      <c r="C223" s="8">
        <v>1</v>
      </c>
      <c r="D223" s="9">
        <v>69.3</v>
      </c>
      <c r="E223" s="9">
        <v>165</v>
      </c>
      <c r="F223" s="8">
        <v>250738708001</v>
      </c>
      <c r="G223" s="7" t="s">
        <v>27</v>
      </c>
      <c r="H223" s="10" t="s">
        <v>30</v>
      </c>
      <c r="I223" s="9">
        <v>20.79</v>
      </c>
      <c r="J223" s="7" t="s">
        <v>137</v>
      </c>
      <c r="K223" s="7" t="s">
        <v>174</v>
      </c>
      <c r="L223" s="11" t="str">
        <f>HYPERLINK("http://slimages.macys.com/is/image/MCY/10442590 ")</f>
        <v xml:space="preserve">http://slimages.macys.com/is/image/MCY/10442590 </v>
      </c>
    </row>
    <row r="224" spans="1:12" ht="48" x14ac:dyDescent="0.25">
      <c r="A224" s="10" t="s">
        <v>1447</v>
      </c>
      <c r="B224" s="7" t="s">
        <v>173</v>
      </c>
      <c r="C224" s="8">
        <v>1</v>
      </c>
      <c r="D224" s="9">
        <v>69.3</v>
      </c>
      <c r="E224" s="9">
        <v>165</v>
      </c>
      <c r="F224" s="8">
        <v>250738708001</v>
      </c>
      <c r="G224" s="7" t="s">
        <v>27</v>
      </c>
      <c r="H224" s="10" t="s">
        <v>25</v>
      </c>
      <c r="I224" s="9">
        <v>20.79</v>
      </c>
      <c r="J224" s="7" t="s">
        <v>137</v>
      </c>
      <c r="K224" s="7" t="s">
        <v>174</v>
      </c>
      <c r="L224" s="11" t="str">
        <f>HYPERLINK("http://slimages.macys.com/is/image/MCY/10442590 ")</f>
        <v xml:space="preserve">http://slimages.macys.com/is/image/MCY/10442590 </v>
      </c>
    </row>
    <row r="225" spans="1:12" ht="84" x14ac:dyDescent="0.25">
      <c r="A225" s="10" t="s">
        <v>157</v>
      </c>
      <c r="B225" s="7" t="s">
        <v>153</v>
      </c>
      <c r="C225" s="8">
        <v>1</v>
      </c>
      <c r="D225" s="9">
        <v>73.5</v>
      </c>
      <c r="E225" s="9">
        <v>175</v>
      </c>
      <c r="F225" s="8">
        <v>250787558001</v>
      </c>
      <c r="G225" s="7" t="s">
        <v>27</v>
      </c>
      <c r="H225" s="10" t="s">
        <v>28</v>
      </c>
      <c r="I225" s="9">
        <v>22.05</v>
      </c>
      <c r="J225" s="7" t="s">
        <v>137</v>
      </c>
      <c r="K225" s="7" t="s">
        <v>154</v>
      </c>
      <c r="L225" s="11" t="str">
        <f>HYPERLINK("http://slimages.macys.com/is/image/MCY/15326445 ")</f>
        <v xml:space="preserve">http://slimages.macys.com/is/image/MCY/15326445 </v>
      </c>
    </row>
    <row r="226" spans="1:12" ht="84" x14ac:dyDescent="0.25">
      <c r="A226" s="10" t="s">
        <v>1446</v>
      </c>
      <c r="B226" s="7" t="s">
        <v>153</v>
      </c>
      <c r="C226" s="8">
        <v>1</v>
      </c>
      <c r="D226" s="9">
        <v>73.5</v>
      </c>
      <c r="E226" s="9">
        <v>175</v>
      </c>
      <c r="F226" s="8">
        <v>250787558001</v>
      </c>
      <c r="G226" s="7" t="s">
        <v>27</v>
      </c>
      <c r="H226" s="10" t="s">
        <v>53</v>
      </c>
      <c r="I226" s="9">
        <v>22.05</v>
      </c>
      <c r="J226" s="7" t="s">
        <v>137</v>
      </c>
      <c r="K226" s="7" t="s">
        <v>154</v>
      </c>
      <c r="L226" s="11" t="str">
        <f>HYPERLINK("http://slimages.macys.com/is/image/MCY/15326445 ")</f>
        <v xml:space="preserve">http://slimages.macys.com/is/image/MCY/15326445 </v>
      </c>
    </row>
    <row r="227" spans="1:12" ht="84" x14ac:dyDescent="0.25">
      <c r="A227" s="10" t="s">
        <v>1445</v>
      </c>
      <c r="B227" s="7" t="s">
        <v>153</v>
      </c>
      <c r="C227" s="8">
        <v>3</v>
      </c>
      <c r="D227" s="9">
        <v>73.5</v>
      </c>
      <c r="E227" s="9">
        <v>175</v>
      </c>
      <c r="F227" s="8">
        <v>250787558001</v>
      </c>
      <c r="G227" s="7" t="s">
        <v>27</v>
      </c>
      <c r="H227" s="10" t="s">
        <v>35</v>
      </c>
      <c r="I227" s="9">
        <v>22.05</v>
      </c>
      <c r="J227" s="7" t="s">
        <v>137</v>
      </c>
      <c r="K227" s="7" t="s">
        <v>154</v>
      </c>
      <c r="L227" s="11" t="str">
        <f>HYPERLINK("http://slimages.macys.com/is/image/MCY/15326445 ")</f>
        <v xml:space="preserve">http://slimages.macys.com/is/image/MCY/15326445 </v>
      </c>
    </row>
    <row r="228" spans="1:12" ht="84" x14ac:dyDescent="0.25">
      <c r="A228" s="10" t="s">
        <v>1444</v>
      </c>
      <c r="B228" s="7" t="s">
        <v>153</v>
      </c>
      <c r="C228" s="8">
        <v>1</v>
      </c>
      <c r="D228" s="9">
        <v>73.5</v>
      </c>
      <c r="E228" s="9">
        <v>175</v>
      </c>
      <c r="F228" s="8">
        <v>250787558001</v>
      </c>
      <c r="G228" s="7" t="s">
        <v>27</v>
      </c>
      <c r="H228" s="10" t="s">
        <v>30</v>
      </c>
      <c r="I228" s="9">
        <v>22.05</v>
      </c>
      <c r="J228" s="7" t="s">
        <v>137</v>
      </c>
      <c r="K228" s="7" t="s">
        <v>154</v>
      </c>
      <c r="L228" s="11" t="str">
        <f>HYPERLINK("http://slimages.macys.com/is/image/MCY/15326445 ")</f>
        <v xml:space="preserve">http://slimages.macys.com/is/image/MCY/15326445 </v>
      </c>
    </row>
    <row r="229" spans="1:12" ht="84" x14ac:dyDescent="0.25">
      <c r="A229" s="10" t="s">
        <v>152</v>
      </c>
      <c r="B229" s="7" t="s">
        <v>153</v>
      </c>
      <c r="C229" s="8">
        <v>1</v>
      </c>
      <c r="D229" s="9">
        <v>73.5</v>
      </c>
      <c r="E229" s="9">
        <v>175</v>
      </c>
      <c r="F229" s="8">
        <v>250787558001</v>
      </c>
      <c r="G229" s="7" t="s">
        <v>27</v>
      </c>
      <c r="H229" s="10" t="s">
        <v>62</v>
      </c>
      <c r="I229" s="9">
        <v>22.05</v>
      </c>
      <c r="J229" s="7" t="s">
        <v>137</v>
      </c>
      <c r="K229" s="7" t="s">
        <v>154</v>
      </c>
      <c r="L229" s="11" t="str">
        <f>HYPERLINK("http://slimages.macys.com/is/image/MCY/15326445 ")</f>
        <v xml:space="preserve">http://slimages.macys.com/is/image/MCY/15326445 </v>
      </c>
    </row>
    <row r="230" spans="1:12" ht="60" x14ac:dyDescent="0.25">
      <c r="A230" s="10" t="s">
        <v>1443</v>
      </c>
      <c r="B230" s="7" t="s">
        <v>1441</v>
      </c>
      <c r="C230" s="8">
        <v>3</v>
      </c>
      <c r="D230" s="9">
        <v>65.099999999999994</v>
      </c>
      <c r="E230" s="9">
        <v>155</v>
      </c>
      <c r="F230" s="8">
        <v>250772729003</v>
      </c>
      <c r="G230" s="7" t="s">
        <v>292</v>
      </c>
      <c r="H230" s="10" t="s">
        <v>57</v>
      </c>
      <c r="I230" s="9">
        <v>19.53</v>
      </c>
      <c r="J230" s="7" t="s">
        <v>137</v>
      </c>
      <c r="K230" s="7" t="s">
        <v>574</v>
      </c>
      <c r="L230" s="11" t="str">
        <f>HYPERLINK("http://slimages.macys.com/is/image/MCY/15329227 ")</f>
        <v xml:space="preserve">http://slimages.macys.com/is/image/MCY/15329227 </v>
      </c>
    </row>
    <row r="231" spans="1:12" ht="60" x14ac:dyDescent="0.25">
      <c r="A231" s="10" t="s">
        <v>1442</v>
      </c>
      <c r="B231" s="7" t="s">
        <v>1441</v>
      </c>
      <c r="C231" s="8">
        <v>1</v>
      </c>
      <c r="D231" s="9">
        <v>65.099999999999994</v>
      </c>
      <c r="E231" s="9">
        <v>155</v>
      </c>
      <c r="F231" s="8">
        <v>250772729003</v>
      </c>
      <c r="G231" s="7" t="s">
        <v>292</v>
      </c>
      <c r="H231" s="10" t="s">
        <v>62</v>
      </c>
      <c r="I231" s="9">
        <v>19.53</v>
      </c>
      <c r="J231" s="7" t="s">
        <v>137</v>
      </c>
      <c r="K231" s="7" t="s">
        <v>574</v>
      </c>
      <c r="L231" s="11" t="str">
        <f>HYPERLINK("http://slimages.macys.com/is/image/MCY/15329227 ")</f>
        <v xml:space="preserve">http://slimages.macys.com/is/image/MCY/15329227 </v>
      </c>
    </row>
    <row r="232" spans="1:12" ht="48" x14ac:dyDescent="0.25">
      <c r="A232" s="10" t="s">
        <v>1440</v>
      </c>
      <c r="B232" s="7" t="s">
        <v>1439</v>
      </c>
      <c r="C232" s="8">
        <v>1</v>
      </c>
      <c r="D232" s="9">
        <v>42</v>
      </c>
      <c r="E232" s="9">
        <v>138</v>
      </c>
      <c r="F232" s="8" t="s">
        <v>1438</v>
      </c>
      <c r="G232" s="7" t="s">
        <v>63</v>
      </c>
      <c r="H232" s="10" t="s">
        <v>686</v>
      </c>
      <c r="I232" s="9">
        <v>12.6</v>
      </c>
      <c r="J232" s="7" t="s">
        <v>187</v>
      </c>
      <c r="K232" s="7" t="s">
        <v>219</v>
      </c>
      <c r="L232" s="11" t="str">
        <f>HYPERLINK("http://slimages.macys.com/is/image/MCY/14541359 ")</f>
        <v xml:space="preserve">http://slimages.macys.com/is/image/MCY/14541359 </v>
      </c>
    </row>
    <row r="233" spans="1:12" ht="24" x14ac:dyDescent="0.25">
      <c r="A233" s="10" t="s">
        <v>1437</v>
      </c>
      <c r="B233" s="7" t="s">
        <v>558</v>
      </c>
      <c r="C233" s="8">
        <v>1</v>
      </c>
      <c r="D233" s="9">
        <v>157.5</v>
      </c>
      <c r="E233" s="9">
        <v>398</v>
      </c>
      <c r="F233" s="8">
        <v>661587</v>
      </c>
      <c r="G233" s="7" t="s">
        <v>45</v>
      </c>
      <c r="H233" s="10" t="s">
        <v>28</v>
      </c>
      <c r="I233" s="9">
        <v>47.25</v>
      </c>
      <c r="J233" s="7" t="s">
        <v>26</v>
      </c>
      <c r="K233" s="7"/>
      <c r="L233" s="11"/>
    </row>
    <row r="234" spans="1:12" ht="48" x14ac:dyDescent="0.25">
      <c r="A234" s="10" t="s">
        <v>1436</v>
      </c>
      <c r="B234" s="7" t="s">
        <v>346</v>
      </c>
      <c r="C234" s="8">
        <v>1</v>
      </c>
      <c r="D234" s="9">
        <v>43.6</v>
      </c>
      <c r="E234" s="9">
        <v>109</v>
      </c>
      <c r="F234" s="8" t="s">
        <v>347</v>
      </c>
      <c r="G234" s="7" t="s">
        <v>282</v>
      </c>
      <c r="H234" s="10" t="s">
        <v>53</v>
      </c>
      <c r="I234" s="9">
        <v>13.08</v>
      </c>
      <c r="J234" s="7" t="s">
        <v>183</v>
      </c>
      <c r="K234" s="7" t="s">
        <v>219</v>
      </c>
      <c r="L234" s="11" t="str">
        <f>HYPERLINK("http://slimages.macys.com/is/image/MCY/14401820 ")</f>
        <v xml:space="preserve">http://slimages.macys.com/is/image/MCY/14401820 </v>
      </c>
    </row>
    <row r="235" spans="1:12" ht="48" x14ac:dyDescent="0.25">
      <c r="A235" s="10" t="s">
        <v>1435</v>
      </c>
      <c r="B235" s="7" t="s">
        <v>346</v>
      </c>
      <c r="C235" s="8">
        <v>1</v>
      </c>
      <c r="D235" s="9">
        <v>43.6</v>
      </c>
      <c r="E235" s="9">
        <v>109</v>
      </c>
      <c r="F235" s="8" t="s">
        <v>347</v>
      </c>
      <c r="G235" s="7" t="s">
        <v>282</v>
      </c>
      <c r="H235" s="10" t="s">
        <v>62</v>
      </c>
      <c r="I235" s="9">
        <v>13.08</v>
      </c>
      <c r="J235" s="7" t="s">
        <v>183</v>
      </c>
      <c r="K235" s="7" t="s">
        <v>219</v>
      </c>
      <c r="L235" s="11" t="str">
        <f>HYPERLINK("http://slimages.macys.com/is/image/MCY/14401820 ")</f>
        <v xml:space="preserve">http://slimages.macys.com/is/image/MCY/14401820 </v>
      </c>
    </row>
    <row r="236" spans="1:12" ht="48" x14ac:dyDescent="0.25">
      <c r="A236" s="10" t="s">
        <v>1434</v>
      </c>
      <c r="B236" s="7" t="s">
        <v>1433</v>
      </c>
      <c r="C236" s="8">
        <v>1</v>
      </c>
      <c r="D236" s="9">
        <v>62.65</v>
      </c>
      <c r="E236" s="9">
        <v>179</v>
      </c>
      <c r="F236" s="8" t="s">
        <v>1432</v>
      </c>
      <c r="G236" s="7" t="s">
        <v>27</v>
      </c>
      <c r="H236" s="10" t="s">
        <v>35</v>
      </c>
      <c r="I236" s="9">
        <v>18.795000000000002</v>
      </c>
      <c r="J236" s="7" t="s">
        <v>79</v>
      </c>
      <c r="K236" s="7" t="s">
        <v>66</v>
      </c>
      <c r="L236" s="11" t="str">
        <f>HYPERLINK("http://slimages.macys.com/is/image/MCY/15218855 ")</f>
        <v xml:space="preserve">http://slimages.macys.com/is/image/MCY/15218855 </v>
      </c>
    </row>
    <row r="237" spans="1:12" ht="48" x14ac:dyDescent="0.25">
      <c r="A237" s="10" t="s">
        <v>1431</v>
      </c>
      <c r="B237" s="7" t="s">
        <v>1429</v>
      </c>
      <c r="C237" s="8">
        <v>1</v>
      </c>
      <c r="D237" s="9">
        <v>42.08</v>
      </c>
      <c r="E237" s="9">
        <v>99</v>
      </c>
      <c r="F237" s="8" t="s">
        <v>1428</v>
      </c>
      <c r="G237" s="7" t="s">
        <v>627</v>
      </c>
      <c r="H237" s="10" t="s">
        <v>155</v>
      </c>
      <c r="I237" s="9">
        <v>12.624000000000001</v>
      </c>
      <c r="J237" s="7" t="s">
        <v>118</v>
      </c>
      <c r="K237" s="7" t="s">
        <v>72</v>
      </c>
      <c r="L237" s="11" t="str">
        <f>HYPERLINK("http://slimages.macys.com/is/image/MCY/15941764 ")</f>
        <v xml:space="preserve">http://slimages.macys.com/is/image/MCY/15941764 </v>
      </c>
    </row>
    <row r="238" spans="1:12" ht="48" x14ac:dyDescent="0.25">
      <c r="A238" s="10" t="s">
        <v>1430</v>
      </c>
      <c r="B238" s="7" t="s">
        <v>1429</v>
      </c>
      <c r="C238" s="8">
        <v>1</v>
      </c>
      <c r="D238" s="9">
        <v>42.08</v>
      </c>
      <c r="E238" s="9">
        <v>99</v>
      </c>
      <c r="F238" s="8" t="s">
        <v>1428</v>
      </c>
      <c r="G238" s="7" t="s">
        <v>627</v>
      </c>
      <c r="H238" s="10" t="s">
        <v>62</v>
      </c>
      <c r="I238" s="9">
        <v>12.624000000000001</v>
      </c>
      <c r="J238" s="7" t="s">
        <v>118</v>
      </c>
      <c r="K238" s="7" t="s">
        <v>72</v>
      </c>
      <c r="L238" s="11" t="str">
        <f>HYPERLINK("http://slimages.macys.com/is/image/MCY/15941764 ")</f>
        <v xml:space="preserve">http://slimages.macys.com/is/image/MCY/15941764 </v>
      </c>
    </row>
    <row r="239" spans="1:12" ht="48" x14ac:dyDescent="0.25">
      <c r="A239" s="10" t="s">
        <v>1427</v>
      </c>
      <c r="B239" s="7" t="s">
        <v>1425</v>
      </c>
      <c r="C239" s="8">
        <v>1</v>
      </c>
      <c r="D239" s="9">
        <v>55</v>
      </c>
      <c r="E239" s="9">
        <v>148</v>
      </c>
      <c r="F239" s="8" t="s">
        <v>1424</v>
      </c>
      <c r="G239" s="7" t="s">
        <v>564</v>
      </c>
      <c r="H239" s="10" t="s">
        <v>53</v>
      </c>
      <c r="I239" s="9">
        <v>16.5</v>
      </c>
      <c r="J239" s="7" t="s">
        <v>43</v>
      </c>
      <c r="K239" s="7" t="s">
        <v>538</v>
      </c>
      <c r="L239" s="11" t="str">
        <f>HYPERLINK("http://slimages.macys.com/is/image/MCY/15709900 ")</f>
        <v xml:space="preserve">http://slimages.macys.com/is/image/MCY/15709900 </v>
      </c>
    </row>
    <row r="240" spans="1:12" ht="48" x14ac:dyDescent="0.25">
      <c r="A240" s="10" t="s">
        <v>1426</v>
      </c>
      <c r="B240" s="7" t="s">
        <v>1425</v>
      </c>
      <c r="C240" s="8">
        <v>2</v>
      </c>
      <c r="D240" s="9">
        <v>55</v>
      </c>
      <c r="E240" s="9">
        <v>148</v>
      </c>
      <c r="F240" s="8" t="s">
        <v>1424</v>
      </c>
      <c r="G240" s="7" t="s">
        <v>564</v>
      </c>
      <c r="H240" s="10" t="s">
        <v>25</v>
      </c>
      <c r="I240" s="9">
        <v>16.5</v>
      </c>
      <c r="J240" s="7" t="s">
        <v>43</v>
      </c>
      <c r="K240" s="7" t="s">
        <v>538</v>
      </c>
      <c r="L240" s="11" t="str">
        <f>HYPERLINK("http://slimages.macys.com/is/image/MCY/15709900 ")</f>
        <v xml:space="preserve">http://slimages.macys.com/is/image/MCY/15709900 </v>
      </c>
    </row>
    <row r="241" spans="1:12" ht="48" x14ac:dyDescent="0.25">
      <c r="A241" s="10" t="s">
        <v>1423</v>
      </c>
      <c r="B241" s="7" t="s">
        <v>1422</v>
      </c>
      <c r="C241" s="8">
        <v>1</v>
      </c>
      <c r="D241" s="9">
        <v>63</v>
      </c>
      <c r="E241" s="9">
        <v>168</v>
      </c>
      <c r="F241" s="8" t="s">
        <v>1421</v>
      </c>
      <c r="G241" s="7"/>
      <c r="H241" s="10" t="s">
        <v>35</v>
      </c>
      <c r="I241" s="9">
        <v>18.899999999999999</v>
      </c>
      <c r="J241" s="7" t="s">
        <v>43</v>
      </c>
      <c r="K241" s="7" t="s">
        <v>52</v>
      </c>
      <c r="L241" s="11" t="str">
        <f>HYPERLINK("http://slimages.macys.com/is/image/MCY/14467092 ")</f>
        <v xml:space="preserve">http://slimages.macys.com/is/image/MCY/14467092 </v>
      </c>
    </row>
    <row r="242" spans="1:12" ht="48" x14ac:dyDescent="0.25">
      <c r="A242" s="10" t="s">
        <v>1420</v>
      </c>
      <c r="B242" s="7" t="s">
        <v>544</v>
      </c>
      <c r="C242" s="8">
        <v>1</v>
      </c>
      <c r="D242" s="9">
        <v>15</v>
      </c>
      <c r="E242" s="9">
        <v>59</v>
      </c>
      <c r="F242" s="8" t="s">
        <v>545</v>
      </c>
      <c r="G242" s="7" t="s">
        <v>67</v>
      </c>
      <c r="H242" s="10" t="s">
        <v>78</v>
      </c>
      <c r="I242" s="9">
        <v>4.5</v>
      </c>
      <c r="J242" s="7" t="s">
        <v>475</v>
      </c>
      <c r="K242" s="7" t="s">
        <v>46</v>
      </c>
      <c r="L242" s="11" t="str">
        <f>HYPERLINK("http://slimages.macys.com/is/image/MCY/14829180 ")</f>
        <v xml:space="preserve">http://slimages.macys.com/is/image/MCY/14829180 </v>
      </c>
    </row>
    <row r="243" spans="1:12" ht="84" x14ac:dyDescent="0.25">
      <c r="A243" s="10" t="s">
        <v>108</v>
      </c>
      <c r="B243" s="7" t="s">
        <v>104</v>
      </c>
      <c r="C243" s="8">
        <v>1</v>
      </c>
      <c r="D243" s="9">
        <v>85.5</v>
      </c>
      <c r="E243" s="9">
        <v>228</v>
      </c>
      <c r="F243" s="8" t="s">
        <v>105</v>
      </c>
      <c r="G243" s="7" t="s">
        <v>106</v>
      </c>
      <c r="H243" s="10" t="s">
        <v>28</v>
      </c>
      <c r="I243" s="9">
        <v>25.65</v>
      </c>
      <c r="J243" s="7" t="s">
        <v>43</v>
      </c>
      <c r="K243" s="7" t="s">
        <v>107</v>
      </c>
      <c r="L243" s="11" t="str">
        <f>HYPERLINK("http://slimages.macys.com/is/image/MCY/15710212 ")</f>
        <v xml:space="preserve">http://slimages.macys.com/is/image/MCY/15710212 </v>
      </c>
    </row>
    <row r="244" spans="1:12" ht="48" x14ac:dyDescent="0.25">
      <c r="A244" s="10" t="s">
        <v>1419</v>
      </c>
      <c r="B244" s="7" t="s">
        <v>1417</v>
      </c>
      <c r="C244" s="8">
        <v>1</v>
      </c>
      <c r="D244" s="9">
        <v>39.6</v>
      </c>
      <c r="E244" s="9">
        <v>99</v>
      </c>
      <c r="F244" s="8" t="s">
        <v>1416</v>
      </c>
      <c r="G244" s="7" t="s">
        <v>114</v>
      </c>
      <c r="H244" s="10" t="s">
        <v>35</v>
      </c>
      <c r="I244" s="9">
        <v>11.88</v>
      </c>
      <c r="J244" s="7" t="s">
        <v>183</v>
      </c>
      <c r="K244" s="7" t="s">
        <v>219</v>
      </c>
      <c r="L244" s="11" t="str">
        <f>HYPERLINK("http://slimages.macys.com/is/image/MCY/14401843 ")</f>
        <v xml:space="preserve">http://slimages.macys.com/is/image/MCY/14401843 </v>
      </c>
    </row>
    <row r="245" spans="1:12" ht="48" x14ac:dyDescent="0.25">
      <c r="A245" s="10" t="s">
        <v>1418</v>
      </c>
      <c r="B245" s="7" t="s">
        <v>1417</v>
      </c>
      <c r="C245" s="8">
        <v>1</v>
      </c>
      <c r="D245" s="9">
        <v>39.6</v>
      </c>
      <c r="E245" s="9">
        <v>99</v>
      </c>
      <c r="F245" s="8" t="s">
        <v>1416</v>
      </c>
      <c r="G245" s="7" t="s">
        <v>114</v>
      </c>
      <c r="H245" s="10" t="s">
        <v>57</v>
      </c>
      <c r="I245" s="9">
        <v>11.88</v>
      </c>
      <c r="J245" s="7" t="s">
        <v>183</v>
      </c>
      <c r="K245" s="7" t="s">
        <v>219</v>
      </c>
      <c r="L245" s="11" t="str">
        <f>HYPERLINK("http://slimages.macys.com/is/image/MCY/14401843 ")</f>
        <v xml:space="preserve">http://slimages.macys.com/is/image/MCY/14401843 </v>
      </c>
    </row>
    <row r="246" spans="1:12" ht="48" x14ac:dyDescent="0.25">
      <c r="A246" s="10" t="s">
        <v>1415</v>
      </c>
      <c r="B246" s="7" t="s">
        <v>671</v>
      </c>
      <c r="C246" s="8">
        <v>1</v>
      </c>
      <c r="D246" s="9">
        <v>47.6</v>
      </c>
      <c r="E246" s="9">
        <v>119</v>
      </c>
      <c r="F246" s="8" t="s">
        <v>1413</v>
      </c>
      <c r="G246" s="7" t="s">
        <v>27</v>
      </c>
      <c r="H246" s="10" t="s">
        <v>53</v>
      </c>
      <c r="I246" s="9">
        <v>14.28</v>
      </c>
      <c r="J246" s="7" t="s">
        <v>183</v>
      </c>
      <c r="K246" s="7" t="s">
        <v>219</v>
      </c>
      <c r="L246" s="11" t="str">
        <f>HYPERLINK("http://slimages.macys.com/is/image/MCY/14716915 ")</f>
        <v xml:space="preserve">http://slimages.macys.com/is/image/MCY/14716915 </v>
      </c>
    </row>
    <row r="247" spans="1:12" ht="48" x14ac:dyDescent="0.25">
      <c r="A247" s="10" t="s">
        <v>1414</v>
      </c>
      <c r="B247" s="7" t="s">
        <v>671</v>
      </c>
      <c r="C247" s="8">
        <v>1</v>
      </c>
      <c r="D247" s="9">
        <v>47.6</v>
      </c>
      <c r="E247" s="9">
        <v>119</v>
      </c>
      <c r="F247" s="8" t="s">
        <v>1413</v>
      </c>
      <c r="G247" s="7" t="s">
        <v>27</v>
      </c>
      <c r="H247" s="10" t="s">
        <v>25</v>
      </c>
      <c r="I247" s="9">
        <v>14.28</v>
      </c>
      <c r="J247" s="7" t="s">
        <v>183</v>
      </c>
      <c r="K247" s="7" t="s">
        <v>219</v>
      </c>
      <c r="L247" s="11" t="str">
        <f>HYPERLINK("http://slimages.macys.com/is/image/MCY/14716915 ")</f>
        <v xml:space="preserve">http://slimages.macys.com/is/image/MCY/14716915 </v>
      </c>
    </row>
    <row r="248" spans="1:12" ht="96" x14ac:dyDescent="0.25">
      <c r="A248" s="10" t="s">
        <v>1412</v>
      </c>
      <c r="B248" s="7" t="s">
        <v>671</v>
      </c>
      <c r="C248" s="8">
        <v>1</v>
      </c>
      <c r="D248" s="9">
        <v>47.6</v>
      </c>
      <c r="E248" s="9">
        <v>119</v>
      </c>
      <c r="F248" s="8" t="s">
        <v>1411</v>
      </c>
      <c r="G248" s="7" t="s">
        <v>27</v>
      </c>
      <c r="H248" s="10" t="s">
        <v>40</v>
      </c>
      <c r="I248" s="9">
        <v>14.28</v>
      </c>
      <c r="J248" s="7" t="s">
        <v>134</v>
      </c>
      <c r="K248" s="7" t="s">
        <v>1410</v>
      </c>
      <c r="L248" s="11" t="str">
        <f>HYPERLINK("http://slimages.macys.com/is/image/MCY/14716915 ")</f>
        <v xml:space="preserve">http://slimages.macys.com/is/image/MCY/14716915 </v>
      </c>
    </row>
    <row r="249" spans="1:12" ht="48" x14ac:dyDescent="0.25">
      <c r="A249" s="10" t="s">
        <v>1409</v>
      </c>
      <c r="B249" s="7" t="s">
        <v>1408</v>
      </c>
      <c r="C249" s="8">
        <v>1</v>
      </c>
      <c r="D249" s="9">
        <v>39.6</v>
      </c>
      <c r="E249" s="9">
        <v>99</v>
      </c>
      <c r="F249" s="8" t="s">
        <v>1407</v>
      </c>
      <c r="G249" s="7" t="s">
        <v>37</v>
      </c>
      <c r="H249" s="10" t="s">
        <v>25</v>
      </c>
      <c r="I249" s="9">
        <v>11.88</v>
      </c>
      <c r="J249" s="7" t="s">
        <v>183</v>
      </c>
      <c r="K249" s="7" t="s">
        <v>219</v>
      </c>
      <c r="L249" s="11" t="str">
        <f>HYPERLINK("http://slimages.macys.com/is/image/MCY/14707197 ")</f>
        <v xml:space="preserve">http://slimages.macys.com/is/image/MCY/14707197 </v>
      </c>
    </row>
    <row r="250" spans="1:12" ht="48" x14ac:dyDescent="0.25">
      <c r="A250" s="10" t="s">
        <v>679</v>
      </c>
      <c r="B250" s="7" t="s">
        <v>678</v>
      </c>
      <c r="C250" s="8">
        <v>1</v>
      </c>
      <c r="D250" s="9">
        <v>51.6</v>
      </c>
      <c r="E250" s="9">
        <v>129</v>
      </c>
      <c r="F250" s="8" t="s">
        <v>677</v>
      </c>
      <c r="G250" s="7" t="s">
        <v>27</v>
      </c>
      <c r="H250" s="10" t="s">
        <v>62</v>
      </c>
      <c r="I250" s="9">
        <v>15.48</v>
      </c>
      <c r="J250" s="7" t="s">
        <v>249</v>
      </c>
      <c r="K250" s="7" t="s">
        <v>219</v>
      </c>
      <c r="L250" s="11" t="str">
        <f>HYPERLINK("http://slimages.macys.com/is/image/MCY/15296958 ")</f>
        <v xml:space="preserve">http://slimages.macys.com/is/image/MCY/15296958 </v>
      </c>
    </row>
    <row r="251" spans="1:12" ht="48" x14ac:dyDescent="0.25">
      <c r="A251" s="10" t="s">
        <v>1406</v>
      </c>
      <c r="B251" s="7" t="s">
        <v>348</v>
      </c>
      <c r="C251" s="8">
        <v>1</v>
      </c>
      <c r="D251" s="9">
        <v>43.6</v>
      </c>
      <c r="E251" s="9">
        <v>109</v>
      </c>
      <c r="F251" s="8" t="s">
        <v>658</v>
      </c>
      <c r="G251" s="7" t="s">
        <v>27</v>
      </c>
      <c r="H251" s="10" t="s">
        <v>31</v>
      </c>
      <c r="I251" s="9">
        <v>13.08</v>
      </c>
      <c r="J251" s="7" t="s">
        <v>183</v>
      </c>
      <c r="K251" s="7" t="s">
        <v>268</v>
      </c>
      <c r="L251" s="11" t="str">
        <f>HYPERLINK("http://slimages.macys.com/is/image/MCY/15353933 ")</f>
        <v xml:space="preserve">http://slimages.macys.com/is/image/MCY/15353933 </v>
      </c>
    </row>
    <row r="252" spans="1:12" ht="48" x14ac:dyDescent="0.25">
      <c r="A252" s="10" t="s">
        <v>490</v>
      </c>
      <c r="B252" s="7" t="s">
        <v>491</v>
      </c>
      <c r="C252" s="8">
        <v>1</v>
      </c>
      <c r="D252" s="9">
        <v>21</v>
      </c>
      <c r="E252" s="9">
        <v>69</v>
      </c>
      <c r="F252" s="8" t="s">
        <v>492</v>
      </c>
      <c r="G252" s="7" t="s">
        <v>202</v>
      </c>
      <c r="H252" s="10" t="s">
        <v>78</v>
      </c>
      <c r="I252" s="9">
        <v>6.3</v>
      </c>
      <c r="J252" s="7" t="s">
        <v>475</v>
      </c>
      <c r="K252" s="7" t="s">
        <v>493</v>
      </c>
      <c r="L252" s="11" t="str">
        <f>HYPERLINK("http://slimages.macys.com/is/image/MCY/15144844 ")</f>
        <v xml:space="preserve">http://slimages.macys.com/is/image/MCY/15144844 </v>
      </c>
    </row>
    <row r="253" spans="1:12" ht="48" x14ac:dyDescent="0.25">
      <c r="A253" s="10" t="s">
        <v>1405</v>
      </c>
      <c r="B253" s="7" t="s">
        <v>1404</v>
      </c>
      <c r="C253" s="8">
        <v>1</v>
      </c>
      <c r="D253" s="9">
        <v>23</v>
      </c>
      <c r="E253" s="9">
        <v>69</v>
      </c>
      <c r="F253" s="8" t="s">
        <v>1403</v>
      </c>
      <c r="G253" s="7" t="s">
        <v>305</v>
      </c>
      <c r="H253" s="10" t="s">
        <v>441</v>
      </c>
      <c r="I253" s="9">
        <v>6.9</v>
      </c>
      <c r="J253" s="7" t="s">
        <v>475</v>
      </c>
      <c r="K253" s="7" t="s">
        <v>61</v>
      </c>
      <c r="L253" s="11" t="str">
        <f>HYPERLINK("http://slimages.macys.com/is/image/MCY/14750859 ")</f>
        <v xml:space="preserve">http://slimages.macys.com/is/image/MCY/14750859 </v>
      </c>
    </row>
    <row r="254" spans="1:12" ht="48" x14ac:dyDescent="0.25">
      <c r="A254" s="10" t="s">
        <v>1402</v>
      </c>
      <c r="B254" s="7" t="s">
        <v>1401</v>
      </c>
      <c r="C254" s="8">
        <v>1</v>
      </c>
      <c r="D254" s="9">
        <v>43.6</v>
      </c>
      <c r="E254" s="9">
        <v>109</v>
      </c>
      <c r="F254" s="8" t="s">
        <v>1400</v>
      </c>
      <c r="G254" s="7" t="s">
        <v>27</v>
      </c>
      <c r="H254" s="10" t="s">
        <v>35</v>
      </c>
      <c r="I254" s="9">
        <v>13.08</v>
      </c>
      <c r="J254" s="7" t="s">
        <v>183</v>
      </c>
      <c r="K254" s="7" t="s">
        <v>103</v>
      </c>
      <c r="L254" s="11" t="str">
        <f>HYPERLINK("http://slimages.macys.com/is/image/MCY/15353847 ")</f>
        <v xml:space="preserve">http://slimages.macys.com/is/image/MCY/15353847 </v>
      </c>
    </row>
    <row r="255" spans="1:12" ht="60" x14ac:dyDescent="0.25">
      <c r="A255" s="10" t="s">
        <v>1399</v>
      </c>
      <c r="B255" s="7" t="s">
        <v>1398</v>
      </c>
      <c r="C255" s="8">
        <v>1</v>
      </c>
      <c r="D255" s="9">
        <v>51.6</v>
      </c>
      <c r="E255" s="9">
        <v>129</v>
      </c>
      <c r="F255" s="8" t="s">
        <v>1397</v>
      </c>
      <c r="G255" s="7" t="s">
        <v>211</v>
      </c>
      <c r="H255" s="10" t="s">
        <v>62</v>
      </c>
      <c r="I255" s="9">
        <v>15.48</v>
      </c>
      <c r="J255" s="7" t="s">
        <v>249</v>
      </c>
      <c r="K255" s="7" t="s">
        <v>36</v>
      </c>
      <c r="L255" s="11" t="str">
        <f>HYPERLINK("http://slimages.macys.com/is/image/MCY/15830880 ")</f>
        <v xml:space="preserve">http://slimages.macys.com/is/image/MCY/15830880 </v>
      </c>
    </row>
    <row r="256" spans="1:12" ht="84" x14ac:dyDescent="0.25">
      <c r="A256" s="10" t="s">
        <v>1396</v>
      </c>
      <c r="B256" s="7" t="s">
        <v>1395</v>
      </c>
      <c r="C256" s="8">
        <v>1</v>
      </c>
      <c r="D256" s="9">
        <v>22</v>
      </c>
      <c r="E256" s="9">
        <v>69</v>
      </c>
      <c r="F256" s="8" t="s">
        <v>1394</v>
      </c>
      <c r="G256" s="7" t="s">
        <v>114</v>
      </c>
      <c r="H256" s="10" t="s">
        <v>285</v>
      </c>
      <c r="I256" s="9">
        <v>6.6</v>
      </c>
      <c r="J256" s="7" t="s">
        <v>382</v>
      </c>
      <c r="K256" s="7" t="s">
        <v>1393</v>
      </c>
      <c r="L256" s="11" t="str">
        <f>HYPERLINK("http://slimages.macys.com/is/image/MCY/15496190 ")</f>
        <v xml:space="preserve">http://slimages.macys.com/is/image/MCY/15496190 </v>
      </c>
    </row>
    <row r="257" spans="1:12" ht="48" x14ac:dyDescent="0.25">
      <c r="A257" s="10" t="s">
        <v>1392</v>
      </c>
      <c r="B257" s="7" t="s">
        <v>1389</v>
      </c>
      <c r="C257" s="8">
        <v>1</v>
      </c>
      <c r="D257" s="9">
        <v>18.5</v>
      </c>
      <c r="E257" s="9">
        <v>46.99</v>
      </c>
      <c r="F257" s="8" t="s">
        <v>1388</v>
      </c>
      <c r="G257" s="7" t="s">
        <v>45</v>
      </c>
      <c r="H257" s="10" t="s">
        <v>419</v>
      </c>
      <c r="I257" s="9">
        <v>5.55</v>
      </c>
      <c r="J257" s="7" t="s">
        <v>496</v>
      </c>
      <c r="K257" s="7" t="s">
        <v>72</v>
      </c>
      <c r="L257" s="11" t="str">
        <f>HYPERLINK("http://slimages.macys.com/is/image/MCY/13533370 ")</f>
        <v xml:space="preserve">http://slimages.macys.com/is/image/MCY/13533370 </v>
      </c>
    </row>
    <row r="258" spans="1:12" ht="48" x14ac:dyDescent="0.25">
      <c r="A258" s="10" t="s">
        <v>1391</v>
      </c>
      <c r="B258" s="7" t="s">
        <v>1389</v>
      </c>
      <c r="C258" s="8">
        <v>1</v>
      </c>
      <c r="D258" s="9">
        <v>18.5</v>
      </c>
      <c r="E258" s="9">
        <v>46.99</v>
      </c>
      <c r="F258" s="8" t="s">
        <v>1388</v>
      </c>
      <c r="G258" s="7" t="s">
        <v>45</v>
      </c>
      <c r="H258" s="10" t="s">
        <v>442</v>
      </c>
      <c r="I258" s="9">
        <v>5.55</v>
      </c>
      <c r="J258" s="7" t="s">
        <v>496</v>
      </c>
      <c r="K258" s="7" t="s">
        <v>72</v>
      </c>
      <c r="L258" s="11" t="str">
        <f>HYPERLINK("http://slimages.macys.com/is/image/MCY/13533370 ")</f>
        <v xml:space="preserve">http://slimages.macys.com/is/image/MCY/13533370 </v>
      </c>
    </row>
    <row r="259" spans="1:12" ht="48" x14ac:dyDescent="0.25">
      <c r="A259" s="10" t="s">
        <v>1390</v>
      </c>
      <c r="B259" s="7" t="s">
        <v>1389</v>
      </c>
      <c r="C259" s="8">
        <v>1</v>
      </c>
      <c r="D259" s="9">
        <v>18.5</v>
      </c>
      <c r="E259" s="9">
        <v>46.99</v>
      </c>
      <c r="F259" s="8" t="s">
        <v>1388</v>
      </c>
      <c r="G259" s="7" t="s">
        <v>45</v>
      </c>
      <c r="H259" s="10" t="s">
        <v>405</v>
      </c>
      <c r="I259" s="9">
        <v>5.55</v>
      </c>
      <c r="J259" s="7" t="s">
        <v>496</v>
      </c>
      <c r="K259" s="7" t="s">
        <v>72</v>
      </c>
      <c r="L259" s="11" t="str">
        <f>HYPERLINK("http://slimages.macys.com/is/image/MCY/13533370 ")</f>
        <v xml:space="preserve">http://slimages.macys.com/is/image/MCY/13533370 </v>
      </c>
    </row>
    <row r="260" spans="1:12" ht="108" x14ac:dyDescent="0.25">
      <c r="A260" s="10" t="s">
        <v>1387</v>
      </c>
      <c r="B260" s="7" t="s">
        <v>464</v>
      </c>
      <c r="C260" s="8">
        <v>1</v>
      </c>
      <c r="D260" s="9">
        <v>26.7</v>
      </c>
      <c r="E260" s="9">
        <v>89</v>
      </c>
      <c r="F260" s="8">
        <v>21500</v>
      </c>
      <c r="G260" s="7"/>
      <c r="H260" s="10" t="s">
        <v>208</v>
      </c>
      <c r="I260" s="9">
        <v>8.01</v>
      </c>
      <c r="J260" s="7" t="s">
        <v>43</v>
      </c>
      <c r="K260" s="7" t="s">
        <v>465</v>
      </c>
      <c r="L260" s="11" t="str">
        <f>HYPERLINK("http://slimages.macys.com/is/image/MCY/8610349 ")</f>
        <v xml:space="preserve">http://slimages.macys.com/is/image/MCY/8610349 </v>
      </c>
    </row>
    <row r="261" spans="1:12" ht="48" x14ac:dyDescent="0.25">
      <c r="A261" s="10" t="s">
        <v>1386</v>
      </c>
      <c r="B261" s="7" t="s">
        <v>1385</v>
      </c>
      <c r="C261" s="8">
        <v>1</v>
      </c>
      <c r="D261" s="9">
        <v>17</v>
      </c>
      <c r="E261" s="9">
        <v>42.99</v>
      </c>
      <c r="F261" s="8" t="s">
        <v>1384</v>
      </c>
      <c r="G261" s="7" t="s">
        <v>63</v>
      </c>
      <c r="H261" s="10" t="s">
        <v>78</v>
      </c>
      <c r="I261" s="9">
        <v>5.0999999999999996</v>
      </c>
      <c r="J261" s="7" t="s">
        <v>496</v>
      </c>
      <c r="K261" s="7" t="s">
        <v>219</v>
      </c>
      <c r="L261" s="11" t="str">
        <f>HYPERLINK("http://slimages.macys.com/is/image/MCY/14021023 ")</f>
        <v xml:space="preserve">http://slimages.macys.com/is/image/MCY/14021023 </v>
      </c>
    </row>
    <row r="262" spans="1:12" ht="48" x14ac:dyDescent="0.25">
      <c r="A262" s="10" t="s">
        <v>1383</v>
      </c>
      <c r="B262" s="7" t="s">
        <v>429</v>
      </c>
      <c r="C262" s="8">
        <v>1</v>
      </c>
      <c r="D262" s="9">
        <v>32</v>
      </c>
      <c r="E262" s="9">
        <v>99</v>
      </c>
      <c r="F262" s="8" t="s">
        <v>430</v>
      </c>
      <c r="G262" s="7" t="s">
        <v>60</v>
      </c>
      <c r="H262" s="10" t="s">
        <v>57</v>
      </c>
      <c r="I262" s="9">
        <v>9.6</v>
      </c>
      <c r="J262" s="7" t="s">
        <v>54</v>
      </c>
      <c r="K262" s="7" t="s">
        <v>431</v>
      </c>
      <c r="L262" s="11" t="str">
        <f>HYPERLINK("http://slimages.macys.com/is/image/MCY/15358732 ")</f>
        <v xml:space="preserve">http://slimages.macys.com/is/image/MCY/15358732 </v>
      </c>
    </row>
    <row r="263" spans="1:12" ht="96" x14ac:dyDescent="0.25">
      <c r="A263" s="10" t="s">
        <v>1382</v>
      </c>
      <c r="B263" s="7" t="s">
        <v>1381</v>
      </c>
      <c r="C263" s="8">
        <v>1</v>
      </c>
      <c r="D263" s="9">
        <v>19.5</v>
      </c>
      <c r="E263" s="9">
        <v>48.99</v>
      </c>
      <c r="F263" s="8" t="s">
        <v>1380</v>
      </c>
      <c r="G263" s="7" t="s">
        <v>45</v>
      </c>
      <c r="H263" s="10" t="s">
        <v>402</v>
      </c>
      <c r="I263" s="9">
        <v>5.85</v>
      </c>
      <c r="J263" s="7" t="s">
        <v>496</v>
      </c>
      <c r="K263" s="7" t="s">
        <v>1379</v>
      </c>
      <c r="L263" s="11" t="str">
        <f>HYPERLINK("http://slimages.macys.com/is/image/MCY/13981075 ")</f>
        <v xml:space="preserve">http://slimages.macys.com/is/image/MCY/13981075 </v>
      </c>
    </row>
    <row r="264" spans="1:12" ht="60" x14ac:dyDescent="0.25">
      <c r="A264" s="10" t="s">
        <v>1378</v>
      </c>
      <c r="B264" s="7" t="s">
        <v>1377</v>
      </c>
      <c r="C264" s="8">
        <v>1</v>
      </c>
      <c r="D264" s="9">
        <v>50.4</v>
      </c>
      <c r="E264" s="9">
        <v>168</v>
      </c>
      <c r="F264" s="8" t="s">
        <v>1376</v>
      </c>
      <c r="G264" s="7" t="s">
        <v>27</v>
      </c>
      <c r="H264" s="10" t="s">
        <v>35</v>
      </c>
      <c r="I264" s="9">
        <v>15.12</v>
      </c>
      <c r="J264" s="7" t="s">
        <v>79</v>
      </c>
      <c r="K264" s="7" t="s">
        <v>36</v>
      </c>
      <c r="L264" s="11" t="str">
        <f>HYPERLINK("http://slimages.macys.com/is/image/MCY/14863187 ")</f>
        <v xml:space="preserve">http://slimages.macys.com/is/image/MCY/14863187 </v>
      </c>
    </row>
    <row r="265" spans="1:12" ht="48" x14ac:dyDescent="0.25">
      <c r="A265" s="10" t="s">
        <v>1375</v>
      </c>
      <c r="B265" s="7" t="s">
        <v>1374</v>
      </c>
      <c r="C265" s="8">
        <v>1</v>
      </c>
      <c r="D265" s="9">
        <v>26.7</v>
      </c>
      <c r="E265" s="9">
        <v>89</v>
      </c>
      <c r="F265" s="8" t="s">
        <v>1373</v>
      </c>
      <c r="G265" s="7" t="s">
        <v>335</v>
      </c>
      <c r="H265" s="10" t="s">
        <v>30</v>
      </c>
      <c r="I265" s="9">
        <v>8.01</v>
      </c>
      <c r="J265" s="7" t="s">
        <v>79</v>
      </c>
      <c r="K265" s="7" t="s">
        <v>219</v>
      </c>
      <c r="L265" s="11" t="str">
        <f>HYPERLINK("http://slimages.macys.com/is/image/MCY/15330336 ")</f>
        <v xml:space="preserve">http://slimages.macys.com/is/image/MCY/15330336 </v>
      </c>
    </row>
    <row r="266" spans="1:12" ht="48" x14ac:dyDescent="0.25">
      <c r="A266" s="10" t="s">
        <v>1372</v>
      </c>
      <c r="B266" s="7" t="s">
        <v>1369</v>
      </c>
      <c r="C266" s="8">
        <v>1</v>
      </c>
      <c r="D266" s="9">
        <v>64</v>
      </c>
      <c r="E266" s="9">
        <v>175</v>
      </c>
      <c r="F266" s="8" t="s">
        <v>1368</v>
      </c>
      <c r="G266" s="7" t="s">
        <v>1367</v>
      </c>
      <c r="H266" s="10" t="s">
        <v>57</v>
      </c>
      <c r="I266" s="9">
        <v>19.2</v>
      </c>
      <c r="J266" s="7" t="s">
        <v>79</v>
      </c>
      <c r="K266" s="7" t="s">
        <v>46</v>
      </c>
      <c r="L266" s="11" t="str">
        <f>HYPERLINK("http://slimages.macys.com/is/image/MCY/13832349 ")</f>
        <v xml:space="preserve">http://slimages.macys.com/is/image/MCY/13832349 </v>
      </c>
    </row>
    <row r="267" spans="1:12" ht="48" x14ac:dyDescent="0.25">
      <c r="A267" s="10" t="s">
        <v>1371</v>
      </c>
      <c r="B267" s="7" t="s">
        <v>1369</v>
      </c>
      <c r="C267" s="8">
        <v>1</v>
      </c>
      <c r="D267" s="9">
        <v>64</v>
      </c>
      <c r="E267" s="9">
        <v>175</v>
      </c>
      <c r="F267" s="8" t="s">
        <v>1368</v>
      </c>
      <c r="G267" s="7" t="s">
        <v>1367</v>
      </c>
      <c r="H267" s="10" t="s">
        <v>35</v>
      </c>
      <c r="I267" s="9">
        <v>19.2</v>
      </c>
      <c r="J267" s="7" t="s">
        <v>79</v>
      </c>
      <c r="K267" s="7" t="s">
        <v>46</v>
      </c>
      <c r="L267" s="11" t="str">
        <f>HYPERLINK("http://slimages.macys.com/is/image/MCY/13832349 ")</f>
        <v xml:space="preserve">http://slimages.macys.com/is/image/MCY/13832349 </v>
      </c>
    </row>
    <row r="268" spans="1:12" ht="48" x14ac:dyDescent="0.25">
      <c r="A268" s="10" t="s">
        <v>1370</v>
      </c>
      <c r="B268" s="7" t="s">
        <v>1369</v>
      </c>
      <c r="C268" s="8">
        <v>1</v>
      </c>
      <c r="D268" s="9">
        <v>64</v>
      </c>
      <c r="E268" s="9">
        <v>175</v>
      </c>
      <c r="F268" s="8" t="s">
        <v>1368</v>
      </c>
      <c r="G268" s="7" t="s">
        <v>1367</v>
      </c>
      <c r="H268" s="10" t="s">
        <v>30</v>
      </c>
      <c r="I268" s="9">
        <v>19.2</v>
      </c>
      <c r="J268" s="7" t="s">
        <v>79</v>
      </c>
      <c r="K268" s="7" t="s">
        <v>46</v>
      </c>
      <c r="L268" s="11" t="str">
        <f>HYPERLINK("http://slimages.macys.com/is/image/MCY/13832349 ")</f>
        <v xml:space="preserve">http://slimages.macys.com/is/image/MCY/13832349 </v>
      </c>
    </row>
    <row r="269" spans="1:12" ht="48" x14ac:dyDescent="0.25">
      <c r="A269" s="10" t="s">
        <v>1366</v>
      </c>
      <c r="B269" s="7" t="s">
        <v>727</v>
      </c>
      <c r="C269" s="8">
        <v>1</v>
      </c>
      <c r="D269" s="9">
        <v>75.62</v>
      </c>
      <c r="E269" s="9">
        <v>199</v>
      </c>
      <c r="F269" s="8">
        <v>425053</v>
      </c>
      <c r="G269" s="7" t="s">
        <v>114</v>
      </c>
      <c r="H269" s="10" t="s">
        <v>236</v>
      </c>
      <c r="I269" s="9">
        <v>22.686</v>
      </c>
      <c r="J269" s="7" t="s">
        <v>65</v>
      </c>
      <c r="K269" s="7" t="s">
        <v>726</v>
      </c>
      <c r="L269" s="11" t="str">
        <f>HYPERLINK("http://slimages.macys.com/is/image/MCY/1123315 ")</f>
        <v xml:space="preserve">http://slimages.macys.com/is/image/MCY/1123315 </v>
      </c>
    </row>
    <row r="270" spans="1:12" ht="48" x14ac:dyDescent="0.25">
      <c r="A270" s="10" t="s">
        <v>1365</v>
      </c>
      <c r="B270" s="7" t="s">
        <v>1364</v>
      </c>
      <c r="C270" s="8">
        <v>1</v>
      </c>
      <c r="D270" s="9">
        <v>126</v>
      </c>
      <c r="E270" s="9">
        <v>319</v>
      </c>
      <c r="F270" s="8" t="s">
        <v>1363</v>
      </c>
      <c r="G270" s="7" t="s">
        <v>60</v>
      </c>
      <c r="H270" s="10"/>
      <c r="I270" s="9">
        <v>37.799999999999997</v>
      </c>
      <c r="J270" s="7" t="s">
        <v>65</v>
      </c>
      <c r="K270" s="7" t="s">
        <v>46</v>
      </c>
      <c r="L270" s="11" t="str">
        <f>HYPERLINK("http://slimages.macys.com/is/image/MCY/11559324 ")</f>
        <v xml:space="preserve">http://slimages.macys.com/is/image/MCY/11559324 </v>
      </c>
    </row>
    <row r="271" spans="1:12" ht="60" x14ac:dyDescent="0.25">
      <c r="A271" s="10" t="s">
        <v>1362</v>
      </c>
      <c r="B271" s="7" t="s">
        <v>1361</v>
      </c>
      <c r="C271" s="8">
        <v>1</v>
      </c>
      <c r="D271" s="9">
        <v>79.75</v>
      </c>
      <c r="E271" s="9">
        <v>199</v>
      </c>
      <c r="F271" s="8" t="s">
        <v>1360</v>
      </c>
      <c r="G271" s="7" t="s">
        <v>131</v>
      </c>
      <c r="H271" s="10" t="s">
        <v>53</v>
      </c>
      <c r="I271" s="9">
        <v>23.925000000000001</v>
      </c>
      <c r="J271" s="7" t="s">
        <v>43</v>
      </c>
      <c r="K271" s="7" t="s">
        <v>36</v>
      </c>
      <c r="L271" s="11" t="str">
        <f>HYPERLINK("http://slimages.macys.com/is/image/MCY/15190327 ")</f>
        <v xml:space="preserve">http://slimages.macys.com/is/image/MCY/15190327 </v>
      </c>
    </row>
    <row r="272" spans="1:12" ht="60" x14ac:dyDescent="0.25">
      <c r="A272" s="10" t="s">
        <v>1359</v>
      </c>
      <c r="B272" s="7" t="s">
        <v>732</v>
      </c>
      <c r="C272" s="8">
        <v>1</v>
      </c>
      <c r="D272" s="9">
        <v>89.75</v>
      </c>
      <c r="E272" s="9">
        <v>219</v>
      </c>
      <c r="F272" s="8" t="s">
        <v>731</v>
      </c>
      <c r="G272" s="7" t="s">
        <v>63</v>
      </c>
      <c r="H272" s="10" t="s">
        <v>236</v>
      </c>
      <c r="I272" s="9">
        <v>26.925000000000001</v>
      </c>
      <c r="J272" s="7" t="s">
        <v>65</v>
      </c>
      <c r="K272" s="7" t="s">
        <v>36</v>
      </c>
      <c r="L272" s="11" t="str">
        <f>HYPERLINK("http://slimages.macys.com/is/image/MCY/15368929 ")</f>
        <v xml:space="preserve">http://slimages.macys.com/is/image/MCY/15368929 </v>
      </c>
    </row>
    <row r="273" spans="1:12" ht="48" x14ac:dyDescent="0.25">
      <c r="A273" s="10" t="s">
        <v>1358</v>
      </c>
      <c r="B273" s="7" t="s">
        <v>1357</v>
      </c>
      <c r="C273" s="8">
        <v>1</v>
      </c>
      <c r="D273" s="9">
        <v>79.75</v>
      </c>
      <c r="E273" s="9">
        <v>199</v>
      </c>
      <c r="F273" s="8" t="s">
        <v>1356</v>
      </c>
      <c r="G273" s="7" t="s">
        <v>27</v>
      </c>
      <c r="H273" s="10" t="s">
        <v>124</v>
      </c>
      <c r="I273" s="9">
        <v>23.925000000000001</v>
      </c>
      <c r="J273" s="7" t="s">
        <v>39</v>
      </c>
      <c r="K273" s="7" t="s">
        <v>61</v>
      </c>
      <c r="L273" s="11" t="str">
        <f>HYPERLINK("http://slimages.macys.com/is/image/MCY/15070988 ")</f>
        <v xml:space="preserve">http://slimages.macys.com/is/image/MCY/15070988 </v>
      </c>
    </row>
    <row r="274" spans="1:12" ht="108" x14ac:dyDescent="0.25">
      <c r="A274" s="10" t="s">
        <v>1355</v>
      </c>
      <c r="B274" s="7" t="s">
        <v>1353</v>
      </c>
      <c r="C274" s="8">
        <v>1</v>
      </c>
      <c r="D274" s="9">
        <v>47.6</v>
      </c>
      <c r="E274" s="9">
        <v>119</v>
      </c>
      <c r="F274" s="8" t="s">
        <v>1352</v>
      </c>
      <c r="G274" s="7" t="s">
        <v>88</v>
      </c>
      <c r="H274" s="10" t="s">
        <v>62</v>
      </c>
      <c r="I274" s="9">
        <v>14.28</v>
      </c>
      <c r="J274" s="7" t="s">
        <v>54</v>
      </c>
      <c r="K274" s="7" t="s">
        <v>1351</v>
      </c>
      <c r="L274" s="11" t="str">
        <f>HYPERLINK("http://slimages.macys.com/is/image/MCY/15209297 ")</f>
        <v xml:space="preserve">http://slimages.macys.com/is/image/MCY/15209297 </v>
      </c>
    </row>
    <row r="275" spans="1:12" ht="108" x14ac:dyDescent="0.25">
      <c r="A275" s="10" t="s">
        <v>1354</v>
      </c>
      <c r="B275" s="7" t="s">
        <v>1353</v>
      </c>
      <c r="C275" s="8">
        <v>1</v>
      </c>
      <c r="D275" s="9">
        <v>47.6</v>
      </c>
      <c r="E275" s="9">
        <v>119</v>
      </c>
      <c r="F275" s="8" t="s">
        <v>1352</v>
      </c>
      <c r="G275" s="7" t="s">
        <v>88</v>
      </c>
      <c r="H275" s="10" t="s">
        <v>53</v>
      </c>
      <c r="I275" s="9">
        <v>14.28</v>
      </c>
      <c r="J275" s="7" t="s">
        <v>54</v>
      </c>
      <c r="K275" s="7" t="s">
        <v>1351</v>
      </c>
      <c r="L275" s="11" t="str">
        <f>HYPERLINK("http://slimages.macys.com/is/image/MCY/15209297 ")</f>
        <v xml:space="preserve">http://slimages.macys.com/is/image/MCY/15209297 </v>
      </c>
    </row>
    <row r="276" spans="1:12" ht="48" x14ac:dyDescent="0.25">
      <c r="A276" s="10" t="s">
        <v>1350</v>
      </c>
      <c r="B276" s="7" t="s">
        <v>410</v>
      </c>
      <c r="C276" s="8">
        <v>1</v>
      </c>
      <c r="D276" s="9">
        <v>35</v>
      </c>
      <c r="E276" s="9">
        <v>99</v>
      </c>
      <c r="F276" s="8" t="s">
        <v>411</v>
      </c>
      <c r="G276" s="7" t="s">
        <v>45</v>
      </c>
      <c r="H276" s="10" t="s">
        <v>35</v>
      </c>
      <c r="I276" s="9">
        <v>10.5</v>
      </c>
      <c r="J276" s="7" t="s">
        <v>54</v>
      </c>
      <c r="K276" s="7" t="s">
        <v>46</v>
      </c>
      <c r="L276" s="11" t="str">
        <f>HYPERLINK("http://slimages.macys.com/is/image/MCY/12835643 ")</f>
        <v xml:space="preserve">http://slimages.macys.com/is/image/MCY/12835643 </v>
      </c>
    </row>
    <row r="277" spans="1:12" ht="48" x14ac:dyDescent="0.25">
      <c r="A277" s="10" t="s">
        <v>1349</v>
      </c>
      <c r="B277" s="7" t="s">
        <v>703</v>
      </c>
      <c r="C277" s="8">
        <v>1</v>
      </c>
      <c r="D277" s="9">
        <v>54.25</v>
      </c>
      <c r="E277" s="9">
        <v>139</v>
      </c>
      <c r="F277" s="8" t="s">
        <v>702</v>
      </c>
      <c r="G277" s="7" t="s">
        <v>114</v>
      </c>
      <c r="H277" s="10" t="s">
        <v>57</v>
      </c>
      <c r="I277" s="9">
        <v>16.274999999999999</v>
      </c>
      <c r="J277" s="7" t="s">
        <v>43</v>
      </c>
      <c r="K277" s="7" t="s">
        <v>52</v>
      </c>
      <c r="L277" s="11" t="str">
        <f>HYPERLINK("http://slimages.macys.com/is/image/MCY/14768767 ")</f>
        <v xml:space="preserve">http://slimages.macys.com/is/image/MCY/14768767 </v>
      </c>
    </row>
    <row r="278" spans="1:12" ht="48" x14ac:dyDescent="0.25">
      <c r="A278" s="10" t="s">
        <v>1348</v>
      </c>
      <c r="B278" s="7" t="s">
        <v>1347</v>
      </c>
      <c r="C278" s="8">
        <v>1</v>
      </c>
      <c r="D278" s="9">
        <v>50</v>
      </c>
      <c r="E278" s="9">
        <v>139</v>
      </c>
      <c r="F278" s="8" t="s">
        <v>1346</v>
      </c>
      <c r="G278" s="7" t="s">
        <v>27</v>
      </c>
      <c r="H278" s="10" t="s">
        <v>57</v>
      </c>
      <c r="I278" s="9">
        <v>15</v>
      </c>
      <c r="J278" s="7" t="s">
        <v>43</v>
      </c>
      <c r="K278" s="7" t="s">
        <v>61</v>
      </c>
      <c r="L278" s="11" t="str">
        <f>HYPERLINK("http://slimages.macys.com/is/image/MCY/14411954 ")</f>
        <v xml:space="preserve">http://slimages.macys.com/is/image/MCY/14411954 </v>
      </c>
    </row>
    <row r="279" spans="1:12" ht="60" x14ac:dyDescent="0.25">
      <c r="A279" s="10" t="s">
        <v>1345</v>
      </c>
      <c r="B279" s="7" t="s">
        <v>1344</v>
      </c>
      <c r="C279" s="8">
        <v>1</v>
      </c>
      <c r="D279" s="9">
        <v>63.54</v>
      </c>
      <c r="E279" s="9">
        <v>169</v>
      </c>
      <c r="F279" s="8">
        <v>1351423</v>
      </c>
      <c r="G279" s="7" t="s">
        <v>27</v>
      </c>
      <c r="H279" s="10" t="s">
        <v>28</v>
      </c>
      <c r="I279" s="9">
        <v>19.062000000000001</v>
      </c>
      <c r="J279" s="7" t="s">
        <v>54</v>
      </c>
      <c r="K279" s="7" t="s">
        <v>1343</v>
      </c>
      <c r="L279" s="11" t="str">
        <f>HYPERLINK("http://slimages.macys.com/is/image/MCY/15296125 ")</f>
        <v xml:space="preserve">http://slimages.macys.com/is/image/MCY/15296125 </v>
      </c>
    </row>
    <row r="280" spans="1:12" ht="48" x14ac:dyDescent="0.25">
      <c r="A280" s="10" t="s">
        <v>1342</v>
      </c>
      <c r="B280" s="7" t="s">
        <v>1341</v>
      </c>
      <c r="C280" s="8">
        <v>1</v>
      </c>
      <c r="D280" s="9">
        <v>48.65</v>
      </c>
      <c r="E280" s="9">
        <v>139</v>
      </c>
      <c r="F280" s="8">
        <v>9119185</v>
      </c>
      <c r="G280" s="7" t="s">
        <v>184</v>
      </c>
      <c r="H280" s="10" t="s">
        <v>57</v>
      </c>
      <c r="I280" s="9">
        <v>14.595000000000001</v>
      </c>
      <c r="J280" s="7" t="s">
        <v>54</v>
      </c>
      <c r="K280" s="7" t="s">
        <v>52</v>
      </c>
      <c r="L280" s="11" t="str">
        <f>HYPERLINK("http://slimages.macys.com/is/image/MCY/15393333 ")</f>
        <v xml:space="preserve">http://slimages.macys.com/is/image/MCY/15393333 </v>
      </c>
    </row>
    <row r="281" spans="1:12" ht="48" x14ac:dyDescent="0.25">
      <c r="A281" s="10" t="s">
        <v>1340</v>
      </c>
      <c r="B281" s="7" t="s">
        <v>1339</v>
      </c>
      <c r="C281" s="8">
        <v>1</v>
      </c>
      <c r="D281" s="9">
        <v>88</v>
      </c>
      <c r="E281" s="9">
        <v>239</v>
      </c>
      <c r="F281" s="8">
        <v>81917701</v>
      </c>
      <c r="G281" s="7"/>
      <c r="H281" s="10" t="s">
        <v>155</v>
      </c>
      <c r="I281" s="9">
        <v>26.4</v>
      </c>
      <c r="J281" s="7" t="s">
        <v>54</v>
      </c>
      <c r="K281" s="7" t="s">
        <v>61</v>
      </c>
      <c r="L281" s="11" t="str">
        <f>HYPERLINK("http://slimages.macys.com/is/image/MCY/15296085 ")</f>
        <v xml:space="preserve">http://slimages.macys.com/is/image/MCY/15296085 </v>
      </c>
    </row>
    <row r="282" spans="1:12" ht="48" x14ac:dyDescent="0.25">
      <c r="A282" s="10" t="s">
        <v>1338</v>
      </c>
      <c r="B282" s="7" t="s">
        <v>1336</v>
      </c>
      <c r="C282" s="8">
        <v>1</v>
      </c>
      <c r="D282" s="9">
        <v>95.6</v>
      </c>
      <c r="E282" s="9">
        <v>239</v>
      </c>
      <c r="F282" s="8">
        <v>8475791</v>
      </c>
      <c r="G282" s="7" t="s">
        <v>88</v>
      </c>
      <c r="H282" s="10" t="s">
        <v>186</v>
      </c>
      <c r="I282" s="9">
        <v>28.68</v>
      </c>
      <c r="J282" s="7" t="s">
        <v>65</v>
      </c>
      <c r="K282" s="7" t="s">
        <v>46</v>
      </c>
      <c r="L282" s="11" t="str">
        <f>HYPERLINK("http://slimages.macys.com/is/image/MCY/14314537 ")</f>
        <v xml:space="preserve">http://slimages.macys.com/is/image/MCY/14314537 </v>
      </c>
    </row>
    <row r="283" spans="1:12" ht="48" x14ac:dyDescent="0.25">
      <c r="A283" s="10" t="s">
        <v>1337</v>
      </c>
      <c r="B283" s="7" t="s">
        <v>1336</v>
      </c>
      <c r="C283" s="8">
        <v>1</v>
      </c>
      <c r="D283" s="9">
        <v>95.6</v>
      </c>
      <c r="E283" s="9">
        <v>239</v>
      </c>
      <c r="F283" s="8">
        <v>8475791</v>
      </c>
      <c r="G283" s="7" t="s">
        <v>88</v>
      </c>
      <c r="H283" s="10" t="s">
        <v>185</v>
      </c>
      <c r="I283" s="9">
        <v>28.68</v>
      </c>
      <c r="J283" s="7" t="s">
        <v>65</v>
      </c>
      <c r="K283" s="7" t="s">
        <v>46</v>
      </c>
      <c r="L283" s="11" t="str">
        <f>HYPERLINK("http://slimages.macys.com/is/image/MCY/14314537 ")</f>
        <v xml:space="preserve">http://slimages.macys.com/is/image/MCY/14314537 </v>
      </c>
    </row>
    <row r="284" spans="1:12" ht="48" x14ac:dyDescent="0.25">
      <c r="A284" s="10" t="s">
        <v>1335</v>
      </c>
      <c r="B284" s="7" t="s">
        <v>1334</v>
      </c>
      <c r="C284" s="8">
        <v>1</v>
      </c>
      <c r="D284" s="9">
        <v>15</v>
      </c>
      <c r="E284" s="9">
        <v>49</v>
      </c>
      <c r="F284" s="8" t="s">
        <v>1333</v>
      </c>
      <c r="G284" s="7" t="s">
        <v>27</v>
      </c>
      <c r="H284" s="10" t="s">
        <v>285</v>
      </c>
      <c r="I284" s="9">
        <v>4.5</v>
      </c>
      <c r="J284" s="7" t="s">
        <v>475</v>
      </c>
      <c r="K284" s="7" t="s">
        <v>61</v>
      </c>
      <c r="L284" s="11" t="str">
        <f>HYPERLINK("http://slimages.macys.com/is/image/MCY/15419610 ")</f>
        <v xml:space="preserve">http://slimages.macys.com/is/image/MCY/15419610 </v>
      </c>
    </row>
    <row r="285" spans="1:12" ht="48" x14ac:dyDescent="0.25">
      <c r="A285" s="10" t="s">
        <v>1332</v>
      </c>
      <c r="B285" s="7" t="s">
        <v>730</v>
      </c>
      <c r="C285" s="8">
        <v>1</v>
      </c>
      <c r="D285" s="9">
        <v>79.599999999999994</v>
      </c>
      <c r="E285" s="9">
        <v>199</v>
      </c>
      <c r="F285" s="8">
        <v>8225899</v>
      </c>
      <c r="G285" s="7" t="s">
        <v>184</v>
      </c>
      <c r="H285" s="10" t="s">
        <v>124</v>
      </c>
      <c r="I285" s="9">
        <v>23.88</v>
      </c>
      <c r="J285" s="7" t="s">
        <v>39</v>
      </c>
      <c r="K285" s="7" t="s">
        <v>715</v>
      </c>
      <c r="L285" s="11" t="str">
        <f>HYPERLINK("http://slimages.macys.com/is/image/MCY/14707211 ")</f>
        <v xml:space="preserve">http://slimages.macys.com/is/image/MCY/14707211 </v>
      </c>
    </row>
    <row r="286" spans="1:12" ht="48" x14ac:dyDescent="0.25">
      <c r="A286" s="10" t="s">
        <v>1331</v>
      </c>
      <c r="B286" s="7" t="s">
        <v>584</v>
      </c>
      <c r="C286" s="8">
        <v>1</v>
      </c>
      <c r="D286" s="9">
        <v>18.79</v>
      </c>
      <c r="E286" s="9">
        <v>69</v>
      </c>
      <c r="F286" s="8" t="s">
        <v>583</v>
      </c>
      <c r="G286" s="7" t="s">
        <v>211</v>
      </c>
      <c r="H286" s="10" t="s">
        <v>89</v>
      </c>
      <c r="I286" s="9">
        <v>5.6369999999999996</v>
      </c>
      <c r="J286" s="7" t="s">
        <v>475</v>
      </c>
      <c r="K286" s="7" t="s">
        <v>61</v>
      </c>
      <c r="L286" s="11" t="str">
        <f>HYPERLINK("http://slimages.macys.com/is/image/MCY/15177429 ")</f>
        <v xml:space="preserve">http://slimages.macys.com/is/image/MCY/15177429 </v>
      </c>
    </row>
    <row r="287" spans="1:12" ht="48" x14ac:dyDescent="0.25">
      <c r="A287" s="10" t="s">
        <v>1330</v>
      </c>
      <c r="B287" s="7" t="s">
        <v>584</v>
      </c>
      <c r="C287" s="8">
        <v>1</v>
      </c>
      <c r="D287" s="9">
        <v>18.79</v>
      </c>
      <c r="E287" s="9">
        <v>69</v>
      </c>
      <c r="F287" s="8" t="s">
        <v>583</v>
      </c>
      <c r="G287" s="7" t="s">
        <v>211</v>
      </c>
      <c r="H287" s="10" t="s">
        <v>442</v>
      </c>
      <c r="I287" s="9">
        <v>5.6369999999999996</v>
      </c>
      <c r="J287" s="7" t="s">
        <v>475</v>
      </c>
      <c r="K287" s="7" t="s">
        <v>61</v>
      </c>
      <c r="L287" s="11" t="str">
        <f>HYPERLINK("http://slimages.macys.com/is/image/MCY/15177429 ")</f>
        <v xml:space="preserve">http://slimages.macys.com/is/image/MCY/15177429 </v>
      </c>
    </row>
    <row r="288" spans="1:12" ht="84" x14ac:dyDescent="0.25">
      <c r="A288" s="10" t="s">
        <v>1329</v>
      </c>
      <c r="B288" s="7" t="s">
        <v>1328</v>
      </c>
      <c r="C288" s="8">
        <v>1</v>
      </c>
      <c r="D288" s="9">
        <v>39.6</v>
      </c>
      <c r="E288" s="9">
        <v>99</v>
      </c>
      <c r="F288" s="8" t="s">
        <v>1327</v>
      </c>
      <c r="G288" s="7" t="s">
        <v>37</v>
      </c>
      <c r="H288" s="10" t="s">
        <v>51</v>
      </c>
      <c r="I288" s="9">
        <v>11.88</v>
      </c>
      <c r="J288" s="7" t="s">
        <v>134</v>
      </c>
      <c r="K288" s="7" t="s">
        <v>1326</v>
      </c>
      <c r="L288" s="11" t="str">
        <f>HYPERLINK("http://slimages.macys.com/is/image/MCY/15236468 ")</f>
        <v xml:space="preserve">http://slimages.macys.com/is/image/MCY/15236468 </v>
      </c>
    </row>
    <row r="289" spans="1:12" ht="48" x14ac:dyDescent="0.25">
      <c r="A289" s="10" t="s">
        <v>1325</v>
      </c>
      <c r="B289" s="7" t="s">
        <v>251</v>
      </c>
      <c r="C289" s="8">
        <v>2</v>
      </c>
      <c r="D289" s="9">
        <v>55.6</v>
      </c>
      <c r="E289" s="9">
        <v>139</v>
      </c>
      <c r="F289" s="8" t="s">
        <v>252</v>
      </c>
      <c r="G289" s="7" t="s">
        <v>88</v>
      </c>
      <c r="H289" s="10" t="s">
        <v>28</v>
      </c>
      <c r="I289" s="9">
        <v>16.68</v>
      </c>
      <c r="J289" s="7" t="s">
        <v>237</v>
      </c>
      <c r="K289" s="7" t="s">
        <v>253</v>
      </c>
      <c r="L289" s="11" t="str">
        <f>HYPERLINK("http://slimages.macys.com/is/image/MCY/15247774 ")</f>
        <v xml:space="preserve">http://slimages.macys.com/is/image/MCY/15247774 </v>
      </c>
    </row>
    <row r="290" spans="1:12" ht="48" x14ac:dyDescent="0.25">
      <c r="A290" s="10" t="s">
        <v>254</v>
      </c>
      <c r="B290" s="7" t="s">
        <v>251</v>
      </c>
      <c r="C290" s="8">
        <v>1</v>
      </c>
      <c r="D290" s="9">
        <v>55.6</v>
      </c>
      <c r="E290" s="9">
        <v>139</v>
      </c>
      <c r="F290" s="8" t="s">
        <v>252</v>
      </c>
      <c r="G290" s="7" t="s">
        <v>88</v>
      </c>
      <c r="H290" s="10" t="s">
        <v>31</v>
      </c>
      <c r="I290" s="9">
        <v>16.68</v>
      </c>
      <c r="J290" s="7" t="s">
        <v>237</v>
      </c>
      <c r="K290" s="7" t="s">
        <v>253</v>
      </c>
      <c r="L290" s="11" t="str">
        <f>HYPERLINK("http://slimages.macys.com/is/image/MCY/15247774 ")</f>
        <v xml:space="preserve">http://slimages.macys.com/is/image/MCY/15247774 </v>
      </c>
    </row>
    <row r="291" spans="1:12" ht="84" x14ac:dyDescent="0.25">
      <c r="A291" s="10" t="s">
        <v>1324</v>
      </c>
      <c r="B291" s="7" t="s">
        <v>328</v>
      </c>
      <c r="C291" s="8">
        <v>1</v>
      </c>
      <c r="D291" s="9">
        <v>46.8</v>
      </c>
      <c r="E291" s="9">
        <v>128</v>
      </c>
      <c r="F291" s="8" t="s">
        <v>329</v>
      </c>
      <c r="G291" s="7" t="s">
        <v>27</v>
      </c>
      <c r="H291" s="10" t="s">
        <v>25</v>
      </c>
      <c r="I291" s="9">
        <v>14.04</v>
      </c>
      <c r="J291" s="7" t="s">
        <v>79</v>
      </c>
      <c r="K291" s="7" t="s">
        <v>330</v>
      </c>
      <c r="L291" s="11" t="str">
        <f>HYPERLINK("http://slimages.macys.com/is/image/MCY/15504976 ")</f>
        <v xml:space="preserve">http://slimages.macys.com/is/image/MCY/15504976 </v>
      </c>
    </row>
    <row r="292" spans="1:12" ht="60" x14ac:dyDescent="0.25">
      <c r="A292" s="10" t="s">
        <v>1323</v>
      </c>
      <c r="B292" s="7" t="s">
        <v>684</v>
      </c>
      <c r="C292" s="8">
        <v>1</v>
      </c>
      <c r="D292" s="9">
        <v>52</v>
      </c>
      <c r="E292" s="9">
        <v>129</v>
      </c>
      <c r="F292" s="8">
        <v>21875</v>
      </c>
      <c r="G292" s="7" t="s">
        <v>45</v>
      </c>
      <c r="H292" s="10" t="s">
        <v>25</v>
      </c>
      <c r="I292" s="9">
        <v>15.6</v>
      </c>
      <c r="J292" s="7" t="s">
        <v>43</v>
      </c>
      <c r="K292" s="7" t="s">
        <v>683</v>
      </c>
      <c r="L292" s="11" t="str">
        <f>HYPERLINK("http://slimages.macys.com/is/image/MCY/15661927 ")</f>
        <v xml:space="preserve">http://slimages.macys.com/is/image/MCY/15661927 </v>
      </c>
    </row>
    <row r="293" spans="1:12" ht="72" x14ac:dyDescent="0.25">
      <c r="A293" s="10" t="s">
        <v>213</v>
      </c>
      <c r="B293" s="7" t="s">
        <v>214</v>
      </c>
      <c r="C293" s="8">
        <v>1</v>
      </c>
      <c r="D293" s="9">
        <v>62.81</v>
      </c>
      <c r="E293" s="9">
        <v>169</v>
      </c>
      <c r="F293" s="8" t="s">
        <v>215</v>
      </c>
      <c r="G293" s="7" t="s">
        <v>27</v>
      </c>
      <c r="H293" s="10" t="s">
        <v>212</v>
      </c>
      <c r="I293" s="9">
        <v>18.843</v>
      </c>
      <c r="J293" s="7" t="s">
        <v>79</v>
      </c>
      <c r="K293" s="7" t="s">
        <v>216</v>
      </c>
      <c r="L293" s="11" t="str">
        <f>HYPERLINK("http://slimages.macys.com/is/image/MCY/14822572 ")</f>
        <v xml:space="preserve">http://slimages.macys.com/is/image/MCY/14822572 </v>
      </c>
    </row>
    <row r="294" spans="1:12" ht="48" x14ac:dyDescent="0.25">
      <c r="A294" s="10" t="s">
        <v>1322</v>
      </c>
      <c r="B294" s="7" t="s">
        <v>711</v>
      </c>
      <c r="C294" s="8">
        <v>1</v>
      </c>
      <c r="D294" s="9">
        <v>58.65</v>
      </c>
      <c r="E294" s="9">
        <v>148</v>
      </c>
      <c r="F294" s="8" t="s">
        <v>710</v>
      </c>
      <c r="G294" s="7" t="s">
        <v>45</v>
      </c>
      <c r="H294" s="10" t="s">
        <v>51</v>
      </c>
      <c r="I294" s="9">
        <v>17.594999999999999</v>
      </c>
      <c r="J294" s="7" t="s">
        <v>134</v>
      </c>
      <c r="K294" s="7" t="s">
        <v>219</v>
      </c>
      <c r="L294" s="11" t="str">
        <f>HYPERLINK("http://slimages.macys.com/is/image/MCY/14718529 ")</f>
        <v xml:space="preserve">http://slimages.macys.com/is/image/MCY/14718529 </v>
      </c>
    </row>
    <row r="295" spans="1:12" ht="60" x14ac:dyDescent="0.25">
      <c r="A295" s="10" t="s">
        <v>1321</v>
      </c>
      <c r="B295" s="7" t="s">
        <v>1320</v>
      </c>
      <c r="C295" s="8">
        <v>1</v>
      </c>
      <c r="D295" s="9">
        <v>58.65</v>
      </c>
      <c r="E295" s="9">
        <v>148</v>
      </c>
      <c r="F295" s="8" t="s">
        <v>1319</v>
      </c>
      <c r="G295" s="7" t="s">
        <v>211</v>
      </c>
      <c r="H295" s="10" t="s">
        <v>288</v>
      </c>
      <c r="I295" s="9">
        <v>17.594999999999999</v>
      </c>
      <c r="J295" s="7" t="s">
        <v>134</v>
      </c>
      <c r="K295" s="7" t="s">
        <v>36</v>
      </c>
      <c r="L295" s="11" t="str">
        <f>HYPERLINK("http://slimages.macys.com/is/image/MCY/14332212 ")</f>
        <v xml:space="preserve">http://slimages.macys.com/is/image/MCY/14332212 </v>
      </c>
    </row>
    <row r="296" spans="1:12" ht="48" x14ac:dyDescent="0.25">
      <c r="A296" s="10" t="s">
        <v>1318</v>
      </c>
      <c r="B296" s="7" t="s">
        <v>97</v>
      </c>
      <c r="C296" s="8">
        <v>1</v>
      </c>
      <c r="D296" s="9">
        <v>93.08</v>
      </c>
      <c r="E296" s="9">
        <v>219</v>
      </c>
      <c r="F296" s="8" t="s">
        <v>98</v>
      </c>
      <c r="G296" s="7" t="s">
        <v>27</v>
      </c>
      <c r="H296" s="10" t="s">
        <v>28</v>
      </c>
      <c r="I296" s="9">
        <v>27.923999999999999</v>
      </c>
      <c r="J296" s="7" t="s">
        <v>29</v>
      </c>
      <c r="K296" s="7" t="s">
        <v>46</v>
      </c>
      <c r="L296" s="11" t="str">
        <f>HYPERLINK("http://slimages.macys.com/is/image/MCY/14373220 ")</f>
        <v xml:space="preserve">http://slimages.macys.com/is/image/MCY/14373220 </v>
      </c>
    </row>
    <row r="297" spans="1:12" ht="48" x14ac:dyDescent="0.25">
      <c r="A297" s="10" t="s">
        <v>96</v>
      </c>
      <c r="B297" s="7" t="s">
        <v>97</v>
      </c>
      <c r="C297" s="8">
        <v>1</v>
      </c>
      <c r="D297" s="9">
        <v>93.08</v>
      </c>
      <c r="E297" s="9">
        <v>219</v>
      </c>
      <c r="F297" s="8" t="s">
        <v>98</v>
      </c>
      <c r="G297" s="7" t="s">
        <v>27</v>
      </c>
      <c r="H297" s="10" t="s">
        <v>25</v>
      </c>
      <c r="I297" s="9">
        <v>27.923999999999999</v>
      </c>
      <c r="J297" s="7" t="s">
        <v>29</v>
      </c>
      <c r="K297" s="7" t="s">
        <v>46</v>
      </c>
      <c r="L297" s="11" t="str">
        <f>HYPERLINK("http://slimages.macys.com/is/image/MCY/14373220 ")</f>
        <v xml:space="preserve">http://slimages.macys.com/is/image/MCY/14373220 </v>
      </c>
    </row>
    <row r="298" spans="1:12" ht="48" x14ac:dyDescent="0.25">
      <c r="A298" s="10" t="s">
        <v>1317</v>
      </c>
      <c r="B298" s="7" t="s">
        <v>120</v>
      </c>
      <c r="C298" s="8">
        <v>1</v>
      </c>
      <c r="D298" s="9">
        <v>84.58</v>
      </c>
      <c r="E298" s="9">
        <v>199</v>
      </c>
      <c r="F298" s="8" t="s">
        <v>121</v>
      </c>
      <c r="G298" s="7" t="s">
        <v>24</v>
      </c>
      <c r="H298" s="10" t="s">
        <v>28</v>
      </c>
      <c r="I298" s="9">
        <v>25.373999999999999</v>
      </c>
      <c r="J298" s="7" t="s">
        <v>29</v>
      </c>
      <c r="K298" s="7" t="s">
        <v>122</v>
      </c>
      <c r="L298" s="11" t="str">
        <f>HYPERLINK("http://slimages.macys.com/is/image/MCY/14372320 ")</f>
        <v xml:space="preserve">http://slimages.macys.com/is/image/MCY/14372320 </v>
      </c>
    </row>
    <row r="299" spans="1:12" ht="48" x14ac:dyDescent="0.25">
      <c r="A299" s="10" t="s">
        <v>1316</v>
      </c>
      <c r="B299" s="7" t="s">
        <v>1315</v>
      </c>
      <c r="C299" s="8">
        <v>1</v>
      </c>
      <c r="D299" s="9">
        <v>39.6</v>
      </c>
      <c r="E299" s="9">
        <v>99</v>
      </c>
      <c r="F299" s="8" t="s">
        <v>1314</v>
      </c>
      <c r="G299" s="7" t="s">
        <v>181</v>
      </c>
      <c r="H299" s="10" t="s">
        <v>38</v>
      </c>
      <c r="I299" s="9">
        <v>11.88</v>
      </c>
      <c r="J299" s="7" t="s">
        <v>134</v>
      </c>
      <c r="K299" s="7" t="s">
        <v>52</v>
      </c>
      <c r="L299" s="11" t="str">
        <f>HYPERLINK("http://slimages.macys.com/is/image/MCY/13467560 ")</f>
        <v xml:space="preserve">http://slimages.macys.com/is/image/MCY/13467560 </v>
      </c>
    </row>
    <row r="300" spans="1:12" ht="48" x14ac:dyDescent="0.25">
      <c r="A300" s="10" t="s">
        <v>1313</v>
      </c>
      <c r="B300" s="7" t="s">
        <v>1312</v>
      </c>
      <c r="C300" s="8">
        <v>1</v>
      </c>
      <c r="D300" s="9">
        <v>23.14</v>
      </c>
      <c r="E300" s="9">
        <v>89</v>
      </c>
      <c r="F300" s="8" t="s">
        <v>1311</v>
      </c>
      <c r="G300" s="7" t="s">
        <v>27</v>
      </c>
      <c r="H300" s="10" t="s">
        <v>82</v>
      </c>
      <c r="I300" s="9">
        <v>6.9420000000000002</v>
      </c>
      <c r="J300" s="7" t="s">
        <v>79</v>
      </c>
      <c r="K300" s="7" t="s">
        <v>46</v>
      </c>
      <c r="L300" s="11" t="str">
        <f>HYPERLINK("http://slimages.macys.com/is/image/MCY/14633415 ")</f>
        <v xml:space="preserve">http://slimages.macys.com/is/image/MCY/14633415 </v>
      </c>
    </row>
    <row r="301" spans="1:12" ht="48" x14ac:dyDescent="0.25">
      <c r="A301" s="10" t="s">
        <v>1310</v>
      </c>
      <c r="B301" s="7" t="s">
        <v>1305</v>
      </c>
      <c r="C301" s="8">
        <v>1</v>
      </c>
      <c r="D301" s="9">
        <v>47.6</v>
      </c>
      <c r="E301" s="9">
        <v>119</v>
      </c>
      <c r="F301" s="8" t="s">
        <v>1304</v>
      </c>
      <c r="G301" s="7" t="s">
        <v>27</v>
      </c>
      <c r="H301" s="10" t="s">
        <v>124</v>
      </c>
      <c r="I301" s="9">
        <v>14.28</v>
      </c>
      <c r="J301" s="7" t="s">
        <v>134</v>
      </c>
      <c r="K301" s="7" t="s">
        <v>219</v>
      </c>
      <c r="L301" s="11" t="str">
        <f>HYPERLINK("http://slimages.macys.com/is/image/MCY/15633745 ")</f>
        <v xml:space="preserve">http://slimages.macys.com/is/image/MCY/15633745 </v>
      </c>
    </row>
    <row r="302" spans="1:12" ht="48" x14ac:dyDescent="0.25">
      <c r="A302" s="10" t="s">
        <v>1309</v>
      </c>
      <c r="B302" s="7" t="s">
        <v>1305</v>
      </c>
      <c r="C302" s="8">
        <v>1</v>
      </c>
      <c r="D302" s="9">
        <v>47.6</v>
      </c>
      <c r="E302" s="9">
        <v>119</v>
      </c>
      <c r="F302" s="8" t="s">
        <v>1304</v>
      </c>
      <c r="G302" s="7" t="s">
        <v>27</v>
      </c>
      <c r="H302" s="10" t="s">
        <v>102</v>
      </c>
      <c r="I302" s="9">
        <v>14.28</v>
      </c>
      <c r="J302" s="7" t="s">
        <v>134</v>
      </c>
      <c r="K302" s="7" t="s">
        <v>219</v>
      </c>
      <c r="L302" s="11" t="str">
        <f>HYPERLINK("http://slimages.macys.com/is/image/MCY/15633745 ")</f>
        <v xml:space="preserve">http://slimages.macys.com/is/image/MCY/15633745 </v>
      </c>
    </row>
    <row r="303" spans="1:12" ht="48" x14ac:dyDescent="0.25">
      <c r="A303" s="10" t="s">
        <v>1308</v>
      </c>
      <c r="B303" s="7" t="s">
        <v>1305</v>
      </c>
      <c r="C303" s="8">
        <v>1</v>
      </c>
      <c r="D303" s="9">
        <v>47.6</v>
      </c>
      <c r="E303" s="9">
        <v>119</v>
      </c>
      <c r="F303" s="8" t="s">
        <v>1304</v>
      </c>
      <c r="G303" s="7" t="s">
        <v>63</v>
      </c>
      <c r="H303" s="10" t="s">
        <v>40</v>
      </c>
      <c r="I303" s="9">
        <v>14.28</v>
      </c>
      <c r="J303" s="7" t="s">
        <v>134</v>
      </c>
      <c r="K303" s="7" t="s">
        <v>219</v>
      </c>
      <c r="L303" s="11" t="str">
        <f>HYPERLINK("http://slimages.macys.com/is/image/MCY/15633747 ")</f>
        <v xml:space="preserve">http://slimages.macys.com/is/image/MCY/15633747 </v>
      </c>
    </row>
    <row r="304" spans="1:12" ht="48" x14ac:dyDescent="0.25">
      <c r="A304" s="10" t="s">
        <v>1307</v>
      </c>
      <c r="B304" s="7" t="s">
        <v>1305</v>
      </c>
      <c r="C304" s="8">
        <v>1</v>
      </c>
      <c r="D304" s="9">
        <v>47.6</v>
      </c>
      <c r="E304" s="9">
        <v>119</v>
      </c>
      <c r="F304" s="8" t="s">
        <v>1304</v>
      </c>
      <c r="G304" s="7" t="s">
        <v>27</v>
      </c>
      <c r="H304" s="10" t="s">
        <v>68</v>
      </c>
      <c r="I304" s="9">
        <v>14.28</v>
      </c>
      <c r="J304" s="7" t="s">
        <v>134</v>
      </c>
      <c r="K304" s="7" t="s">
        <v>219</v>
      </c>
      <c r="L304" s="11" t="str">
        <f>HYPERLINK("http://slimages.macys.com/is/image/MCY/15633745 ")</f>
        <v xml:space="preserve">http://slimages.macys.com/is/image/MCY/15633745 </v>
      </c>
    </row>
    <row r="305" spans="1:12" ht="48" x14ac:dyDescent="0.25">
      <c r="A305" s="10" t="s">
        <v>1306</v>
      </c>
      <c r="B305" s="7" t="s">
        <v>1305</v>
      </c>
      <c r="C305" s="8">
        <v>1</v>
      </c>
      <c r="D305" s="9">
        <v>47.6</v>
      </c>
      <c r="E305" s="9">
        <v>119</v>
      </c>
      <c r="F305" s="8" t="s">
        <v>1304</v>
      </c>
      <c r="G305" s="7" t="s">
        <v>27</v>
      </c>
      <c r="H305" s="10" t="s">
        <v>38</v>
      </c>
      <c r="I305" s="9">
        <v>14.28</v>
      </c>
      <c r="J305" s="7" t="s">
        <v>134</v>
      </c>
      <c r="K305" s="7" t="s">
        <v>219</v>
      </c>
      <c r="L305" s="11" t="str">
        <f>HYPERLINK("http://slimages.macys.com/is/image/MCY/15633745 ")</f>
        <v xml:space="preserve">http://slimages.macys.com/is/image/MCY/15633745 </v>
      </c>
    </row>
    <row r="306" spans="1:12" ht="48" x14ac:dyDescent="0.25">
      <c r="A306" s="10" t="s">
        <v>614</v>
      </c>
      <c r="B306" s="7" t="s">
        <v>613</v>
      </c>
      <c r="C306" s="8">
        <v>1</v>
      </c>
      <c r="D306" s="9">
        <v>26</v>
      </c>
      <c r="E306" s="9">
        <v>79</v>
      </c>
      <c r="F306" s="8" t="s">
        <v>612</v>
      </c>
      <c r="G306" s="7" t="s">
        <v>106</v>
      </c>
      <c r="H306" s="10" t="s">
        <v>62</v>
      </c>
      <c r="I306" s="9">
        <v>7.8</v>
      </c>
      <c r="J306" s="7" t="s">
        <v>182</v>
      </c>
      <c r="K306" s="7" t="s">
        <v>219</v>
      </c>
      <c r="L306" s="11" t="str">
        <f>HYPERLINK("http://slimages.macys.com/is/image/MCY/15610635 ")</f>
        <v xml:space="preserve">http://slimages.macys.com/is/image/MCY/15610635 </v>
      </c>
    </row>
    <row r="307" spans="1:12" ht="48" x14ac:dyDescent="0.25">
      <c r="A307" s="10" t="s">
        <v>1303</v>
      </c>
      <c r="B307" s="7" t="s">
        <v>555</v>
      </c>
      <c r="C307" s="8">
        <v>1</v>
      </c>
      <c r="D307" s="9">
        <v>11.5</v>
      </c>
      <c r="E307" s="9">
        <v>28.99</v>
      </c>
      <c r="F307" s="8" t="s">
        <v>556</v>
      </c>
      <c r="G307" s="7" t="s">
        <v>443</v>
      </c>
      <c r="H307" s="10" t="s">
        <v>78</v>
      </c>
      <c r="I307" s="9">
        <v>3.45</v>
      </c>
      <c r="J307" s="7" t="s">
        <v>496</v>
      </c>
      <c r="K307" s="7" t="s">
        <v>219</v>
      </c>
      <c r="L307" s="11" t="str">
        <f>HYPERLINK("http://slimages.macys.com/is/image/MCY/15719761 ")</f>
        <v xml:space="preserve">http://slimages.macys.com/is/image/MCY/15719761 </v>
      </c>
    </row>
    <row r="308" spans="1:12" ht="48" x14ac:dyDescent="0.25">
      <c r="A308" s="10" t="s">
        <v>1302</v>
      </c>
      <c r="B308" s="7" t="s">
        <v>1301</v>
      </c>
      <c r="C308" s="8">
        <v>1</v>
      </c>
      <c r="D308" s="9">
        <v>51.6</v>
      </c>
      <c r="E308" s="9">
        <v>129</v>
      </c>
      <c r="F308" s="8" t="s">
        <v>1300</v>
      </c>
      <c r="G308" s="7" t="s">
        <v>211</v>
      </c>
      <c r="H308" s="10" t="s">
        <v>57</v>
      </c>
      <c r="I308" s="9">
        <v>15.48</v>
      </c>
      <c r="J308" s="7" t="s">
        <v>183</v>
      </c>
      <c r="K308" s="7" t="s">
        <v>557</v>
      </c>
      <c r="L308" s="11" t="str">
        <f>HYPERLINK("http://slimages.macys.com/is/image/MCY/14750815 ")</f>
        <v xml:space="preserve">http://slimages.macys.com/is/image/MCY/14750815 </v>
      </c>
    </row>
    <row r="309" spans="1:12" ht="48" x14ac:dyDescent="0.25">
      <c r="A309" s="10" t="s">
        <v>1299</v>
      </c>
      <c r="B309" s="7" t="s">
        <v>1298</v>
      </c>
      <c r="C309" s="8">
        <v>1</v>
      </c>
      <c r="D309" s="9">
        <v>51.6</v>
      </c>
      <c r="E309" s="9">
        <v>129</v>
      </c>
      <c r="F309" s="8" t="s">
        <v>1297</v>
      </c>
      <c r="G309" s="7" t="s">
        <v>211</v>
      </c>
      <c r="H309" s="10" t="s">
        <v>155</v>
      </c>
      <c r="I309" s="9">
        <v>15.48</v>
      </c>
      <c r="J309" s="7" t="s">
        <v>183</v>
      </c>
      <c r="K309" s="7" t="s">
        <v>557</v>
      </c>
      <c r="L309" s="11" t="str">
        <f>HYPERLINK("http://slimages.macys.com/is/image/MCY/14401814 ")</f>
        <v xml:space="preserve">http://slimages.macys.com/is/image/MCY/14401814 </v>
      </c>
    </row>
    <row r="310" spans="1:12" ht="48" x14ac:dyDescent="0.25">
      <c r="A310" s="10" t="s">
        <v>1296</v>
      </c>
      <c r="B310" s="7" t="s">
        <v>478</v>
      </c>
      <c r="C310" s="8">
        <v>2</v>
      </c>
      <c r="D310" s="9">
        <v>23</v>
      </c>
      <c r="E310" s="9">
        <v>69</v>
      </c>
      <c r="F310" s="8" t="s">
        <v>479</v>
      </c>
      <c r="G310" s="7" t="s">
        <v>45</v>
      </c>
      <c r="H310" s="10" t="s">
        <v>441</v>
      </c>
      <c r="I310" s="9">
        <v>6.9</v>
      </c>
      <c r="J310" s="7" t="s">
        <v>475</v>
      </c>
      <c r="K310" s="7" t="s">
        <v>52</v>
      </c>
      <c r="L310" s="11" t="str">
        <f>HYPERLINK("http://slimages.macys.com/is/image/MCY/15669780 ")</f>
        <v xml:space="preserve">http://slimages.macys.com/is/image/MCY/15669780 </v>
      </c>
    </row>
    <row r="311" spans="1:12" ht="48" x14ac:dyDescent="0.25">
      <c r="A311" s="10" t="s">
        <v>1295</v>
      </c>
      <c r="B311" s="7" t="s">
        <v>478</v>
      </c>
      <c r="C311" s="8">
        <v>1</v>
      </c>
      <c r="D311" s="9">
        <v>23</v>
      </c>
      <c r="E311" s="9">
        <v>69</v>
      </c>
      <c r="F311" s="8" t="s">
        <v>479</v>
      </c>
      <c r="G311" s="7" t="s">
        <v>45</v>
      </c>
      <c r="H311" s="10" t="s">
        <v>405</v>
      </c>
      <c r="I311" s="9">
        <v>6.9</v>
      </c>
      <c r="J311" s="7" t="s">
        <v>475</v>
      </c>
      <c r="K311" s="7" t="s">
        <v>52</v>
      </c>
      <c r="L311" s="11" t="str">
        <f>HYPERLINK("http://slimages.macys.com/is/image/MCY/15669780 ")</f>
        <v xml:space="preserve">http://slimages.macys.com/is/image/MCY/15669780 </v>
      </c>
    </row>
    <row r="312" spans="1:12" ht="48" x14ac:dyDescent="0.25">
      <c r="A312" s="10" t="s">
        <v>1294</v>
      </c>
      <c r="B312" s="7" t="s">
        <v>478</v>
      </c>
      <c r="C312" s="8">
        <v>1</v>
      </c>
      <c r="D312" s="9">
        <v>23</v>
      </c>
      <c r="E312" s="9">
        <v>69</v>
      </c>
      <c r="F312" s="8" t="s">
        <v>479</v>
      </c>
      <c r="G312" s="7" t="s">
        <v>45</v>
      </c>
      <c r="H312" s="10" t="s">
        <v>442</v>
      </c>
      <c r="I312" s="9">
        <v>6.9</v>
      </c>
      <c r="J312" s="7" t="s">
        <v>475</v>
      </c>
      <c r="K312" s="7" t="s">
        <v>52</v>
      </c>
      <c r="L312" s="11" t="str">
        <f>HYPERLINK("http://slimages.macys.com/is/image/MCY/15669780 ")</f>
        <v xml:space="preserve">http://slimages.macys.com/is/image/MCY/15669780 </v>
      </c>
    </row>
    <row r="313" spans="1:12" ht="48" x14ac:dyDescent="0.25">
      <c r="A313" s="10" t="s">
        <v>1293</v>
      </c>
      <c r="B313" s="7" t="s">
        <v>494</v>
      </c>
      <c r="C313" s="8">
        <v>1</v>
      </c>
      <c r="D313" s="9">
        <v>21</v>
      </c>
      <c r="E313" s="9">
        <v>69</v>
      </c>
      <c r="F313" s="8" t="s">
        <v>495</v>
      </c>
      <c r="G313" s="7" t="s">
        <v>101</v>
      </c>
      <c r="H313" s="10" t="s">
        <v>454</v>
      </c>
      <c r="I313" s="9">
        <v>6.3</v>
      </c>
      <c r="J313" s="7" t="s">
        <v>382</v>
      </c>
      <c r="K313" s="7" t="s">
        <v>46</v>
      </c>
      <c r="L313" s="11" t="str">
        <f>HYPERLINK("http://slimages.macys.com/is/image/MCY/15669639 ")</f>
        <v xml:space="preserve">http://slimages.macys.com/is/image/MCY/15669639 </v>
      </c>
    </row>
    <row r="314" spans="1:12" ht="48" x14ac:dyDescent="0.25">
      <c r="A314" s="10" t="s">
        <v>1292</v>
      </c>
      <c r="B314" s="7" t="s">
        <v>494</v>
      </c>
      <c r="C314" s="8">
        <v>1</v>
      </c>
      <c r="D314" s="9">
        <v>21</v>
      </c>
      <c r="E314" s="9">
        <v>69</v>
      </c>
      <c r="F314" s="8" t="s">
        <v>495</v>
      </c>
      <c r="G314" s="7" t="s">
        <v>101</v>
      </c>
      <c r="H314" s="10" t="s">
        <v>89</v>
      </c>
      <c r="I314" s="9">
        <v>6.3</v>
      </c>
      <c r="J314" s="7" t="s">
        <v>382</v>
      </c>
      <c r="K314" s="7" t="s">
        <v>46</v>
      </c>
      <c r="L314" s="11" t="str">
        <f>HYPERLINK("http://slimages.macys.com/is/image/MCY/15669639 ")</f>
        <v xml:space="preserve">http://slimages.macys.com/is/image/MCY/15669639 </v>
      </c>
    </row>
    <row r="315" spans="1:12" ht="48" x14ac:dyDescent="0.25">
      <c r="A315" s="10" t="s">
        <v>1291</v>
      </c>
      <c r="B315" s="7" t="s">
        <v>494</v>
      </c>
      <c r="C315" s="8">
        <v>2</v>
      </c>
      <c r="D315" s="9">
        <v>21</v>
      </c>
      <c r="E315" s="9">
        <v>69</v>
      </c>
      <c r="F315" s="8" t="s">
        <v>495</v>
      </c>
      <c r="G315" s="7" t="s">
        <v>101</v>
      </c>
      <c r="H315" s="10" t="s">
        <v>402</v>
      </c>
      <c r="I315" s="9">
        <v>6.3</v>
      </c>
      <c r="J315" s="7" t="s">
        <v>382</v>
      </c>
      <c r="K315" s="7" t="s">
        <v>46</v>
      </c>
      <c r="L315" s="11" t="str">
        <f>HYPERLINK("http://slimages.macys.com/is/image/MCY/15669639 ")</f>
        <v xml:space="preserve">http://slimages.macys.com/is/image/MCY/15669639 </v>
      </c>
    </row>
    <row r="316" spans="1:12" ht="48" x14ac:dyDescent="0.25">
      <c r="A316" s="10" t="s">
        <v>1290</v>
      </c>
      <c r="B316" s="7" t="s">
        <v>1289</v>
      </c>
      <c r="C316" s="8">
        <v>1</v>
      </c>
      <c r="D316" s="9">
        <v>35</v>
      </c>
      <c r="E316" s="9">
        <v>99</v>
      </c>
      <c r="F316" s="8" t="s">
        <v>1288</v>
      </c>
      <c r="G316" s="7" t="s">
        <v>27</v>
      </c>
      <c r="H316" s="10" t="s">
        <v>78</v>
      </c>
      <c r="I316" s="9">
        <v>10.5</v>
      </c>
      <c r="J316" s="7" t="s">
        <v>54</v>
      </c>
      <c r="K316" s="7" t="s">
        <v>219</v>
      </c>
      <c r="L316" s="11" t="str">
        <f>HYPERLINK("http://slimages.macys.com/is/image/MCY/14463557 ")</f>
        <v xml:space="preserve">http://slimages.macys.com/is/image/MCY/14463557 </v>
      </c>
    </row>
    <row r="317" spans="1:12" ht="48" x14ac:dyDescent="0.25">
      <c r="A317" s="10" t="s">
        <v>1287</v>
      </c>
      <c r="B317" s="7" t="s">
        <v>641</v>
      </c>
      <c r="C317" s="8">
        <v>1</v>
      </c>
      <c r="D317" s="9">
        <v>40</v>
      </c>
      <c r="E317" s="9">
        <v>89.98</v>
      </c>
      <c r="F317" s="8" t="s">
        <v>640</v>
      </c>
      <c r="G317" s="7" t="s">
        <v>27</v>
      </c>
      <c r="H317" s="10" t="s">
        <v>68</v>
      </c>
      <c r="I317" s="9">
        <v>12</v>
      </c>
      <c r="J317" s="7" t="s">
        <v>134</v>
      </c>
      <c r="K317" s="7" t="s">
        <v>219</v>
      </c>
      <c r="L317" s="11" t="str">
        <f>HYPERLINK("http://slimages.macys.com/is/image/MCY/14519315 ")</f>
        <v xml:space="preserve">http://slimages.macys.com/is/image/MCY/14519315 </v>
      </c>
    </row>
    <row r="318" spans="1:12" ht="48" x14ac:dyDescent="0.25">
      <c r="A318" s="10" t="s">
        <v>1286</v>
      </c>
      <c r="B318" s="7" t="s">
        <v>641</v>
      </c>
      <c r="C318" s="8">
        <v>1</v>
      </c>
      <c r="D318" s="9">
        <v>40</v>
      </c>
      <c r="E318" s="9">
        <v>89.98</v>
      </c>
      <c r="F318" s="8" t="s">
        <v>640</v>
      </c>
      <c r="G318" s="7" t="s">
        <v>27</v>
      </c>
      <c r="H318" s="10" t="s">
        <v>40</v>
      </c>
      <c r="I318" s="9">
        <v>12</v>
      </c>
      <c r="J318" s="7" t="s">
        <v>134</v>
      </c>
      <c r="K318" s="7" t="s">
        <v>219</v>
      </c>
      <c r="L318" s="11" t="str">
        <f>HYPERLINK("http://slimages.macys.com/is/image/MCY/14519315 ")</f>
        <v xml:space="preserve">http://slimages.macys.com/is/image/MCY/14519315 </v>
      </c>
    </row>
    <row r="319" spans="1:12" ht="24" x14ac:dyDescent="0.25">
      <c r="A319" s="10" t="s">
        <v>1285</v>
      </c>
      <c r="B319" s="7" t="s">
        <v>1284</v>
      </c>
      <c r="C319" s="8">
        <v>1</v>
      </c>
      <c r="D319" s="9">
        <v>135</v>
      </c>
      <c r="E319" s="9">
        <v>328</v>
      </c>
      <c r="F319" s="8">
        <v>662032</v>
      </c>
      <c r="G319" s="7" t="s">
        <v>24</v>
      </c>
      <c r="H319" s="10" t="s">
        <v>35</v>
      </c>
      <c r="I319" s="9">
        <v>40.5</v>
      </c>
      <c r="J319" s="7" t="s">
        <v>26</v>
      </c>
      <c r="K319" s="7"/>
      <c r="L319" s="11"/>
    </row>
    <row r="320" spans="1:12" ht="60" x14ac:dyDescent="0.25">
      <c r="A320" s="10" t="s">
        <v>1283</v>
      </c>
      <c r="B320" s="7" t="s">
        <v>1282</v>
      </c>
      <c r="C320" s="8">
        <v>1</v>
      </c>
      <c r="D320" s="9">
        <v>44.8</v>
      </c>
      <c r="E320" s="9">
        <v>128</v>
      </c>
      <c r="F320" s="8" t="s">
        <v>1281</v>
      </c>
      <c r="G320" s="7" t="s">
        <v>246</v>
      </c>
      <c r="H320" s="10" t="s">
        <v>68</v>
      </c>
      <c r="I320" s="9">
        <v>13.44</v>
      </c>
      <c r="J320" s="7" t="s">
        <v>134</v>
      </c>
      <c r="K320" s="7" t="s">
        <v>527</v>
      </c>
      <c r="L320" s="11" t="str">
        <f>HYPERLINK("http://slimages.macys.com/is/image/MCY/14877192 ")</f>
        <v xml:space="preserve">http://slimages.macys.com/is/image/MCY/14877192 </v>
      </c>
    </row>
    <row r="321" spans="1:12" ht="48" x14ac:dyDescent="0.25">
      <c r="A321" s="10" t="s">
        <v>1280</v>
      </c>
      <c r="B321" s="7" t="s">
        <v>738</v>
      </c>
      <c r="C321" s="8">
        <v>1</v>
      </c>
      <c r="D321" s="9">
        <v>105.83</v>
      </c>
      <c r="E321" s="9">
        <v>249</v>
      </c>
      <c r="F321" s="8" t="s">
        <v>737</v>
      </c>
      <c r="G321" s="7" t="s">
        <v>45</v>
      </c>
      <c r="H321" s="10" t="s">
        <v>31</v>
      </c>
      <c r="I321" s="9">
        <v>31.748999999999999</v>
      </c>
      <c r="J321" s="7" t="s">
        <v>29</v>
      </c>
      <c r="K321" s="7" t="s">
        <v>46</v>
      </c>
      <c r="L321" s="11" t="str">
        <f>HYPERLINK("http://slimages.macys.com/is/image/MCY/14516768 ")</f>
        <v xml:space="preserve">http://slimages.macys.com/is/image/MCY/14516768 </v>
      </c>
    </row>
    <row r="322" spans="1:12" ht="48" x14ac:dyDescent="0.25">
      <c r="A322" s="10" t="s">
        <v>1279</v>
      </c>
      <c r="B322" s="7" t="s">
        <v>738</v>
      </c>
      <c r="C322" s="8">
        <v>1</v>
      </c>
      <c r="D322" s="9">
        <v>105.83</v>
      </c>
      <c r="E322" s="9">
        <v>249</v>
      </c>
      <c r="F322" s="8" t="s">
        <v>737</v>
      </c>
      <c r="G322" s="7" t="s">
        <v>45</v>
      </c>
      <c r="H322" s="10" t="s">
        <v>25</v>
      </c>
      <c r="I322" s="9">
        <v>31.748999999999999</v>
      </c>
      <c r="J322" s="7" t="s">
        <v>29</v>
      </c>
      <c r="K322" s="7" t="s">
        <v>46</v>
      </c>
      <c r="L322" s="11" t="str">
        <f>HYPERLINK("http://slimages.macys.com/is/image/MCY/14516768 ")</f>
        <v xml:space="preserve">http://slimages.macys.com/is/image/MCY/14516768 </v>
      </c>
    </row>
    <row r="323" spans="1:12" ht="48" x14ac:dyDescent="0.25">
      <c r="A323" s="10" t="s">
        <v>1278</v>
      </c>
      <c r="B323" s="7" t="s">
        <v>738</v>
      </c>
      <c r="C323" s="8">
        <v>1</v>
      </c>
      <c r="D323" s="9">
        <v>105.83</v>
      </c>
      <c r="E323" s="9">
        <v>249</v>
      </c>
      <c r="F323" s="8" t="s">
        <v>737</v>
      </c>
      <c r="G323" s="7" t="s">
        <v>45</v>
      </c>
      <c r="H323" s="10" t="s">
        <v>53</v>
      </c>
      <c r="I323" s="9">
        <v>31.748999999999999</v>
      </c>
      <c r="J323" s="7" t="s">
        <v>29</v>
      </c>
      <c r="K323" s="7" t="s">
        <v>46</v>
      </c>
      <c r="L323" s="11" t="str">
        <f>HYPERLINK("http://slimages.macys.com/is/image/MCY/14516768 ")</f>
        <v xml:space="preserve">http://slimages.macys.com/is/image/MCY/14516768 </v>
      </c>
    </row>
    <row r="324" spans="1:12" ht="48" x14ac:dyDescent="0.25">
      <c r="A324" s="10" t="s">
        <v>1277</v>
      </c>
      <c r="B324" s="7" t="s">
        <v>738</v>
      </c>
      <c r="C324" s="8">
        <v>1</v>
      </c>
      <c r="D324" s="9">
        <v>105.83</v>
      </c>
      <c r="E324" s="9">
        <v>249</v>
      </c>
      <c r="F324" s="8" t="s">
        <v>737</v>
      </c>
      <c r="G324" s="7" t="s">
        <v>45</v>
      </c>
      <c r="H324" s="10" t="s">
        <v>35</v>
      </c>
      <c r="I324" s="9">
        <v>31.748999999999999</v>
      </c>
      <c r="J324" s="7" t="s">
        <v>29</v>
      </c>
      <c r="K324" s="7" t="s">
        <v>46</v>
      </c>
      <c r="L324" s="11" t="str">
        <f>HYPERLINK("http://slimages.macys.com/is/image/MCY/14516768 ")</f>
        <v xml:space="preserve">http://slimages.macys.com/is/image/MCY/14516768 </v>
      </c>
    </row>
    <row r="325" spans="1:12" ht="60" x14ac:dyDescent="0.25">
      <c r="A325" s="10" t="s">
        <v>1276</v>
      </c>
      <c r="B325" s="7" t="s">
        <v>1275</v>
      </c>
      <c r="C325" s="8">
        <v>1</v>
      </c>
      <c r="D325" s="9">
        <v>63.6</v>
      </c>
      <c r="E325" s="9">
        <v>159</v>
      </c>
      <c r="F325" s="8" t="s">
        <v>1274</v>
      </c>
      <c r="G325" s="7" t="s">
        <v>189</v>
      </c>
      <c r="H325" s="10" t="s">
        <v>53</v>
      </c>
      <c r="I325" s="9">
        <v>19.079999999999998</v>
      </c>
      <c r="J325" s="7" t="s">
        <v>237</v>
      </c>
      <c r="K325" s="7" t="s">
        <v>190</v>
      </c>
      <c r="L325" s="11" t="str">
        <f>HYPERLINK("http://slimages.macys.com/is/image/MCY/15393826 ")</f>
        <v xml:space="preserve">http://slimages.macys.com/is/image/MCY/15393826 </v>
      </c>
    </row>
    <row r="326" spans="1:12" ht="60" x14ac:dyDescent="0.25">
      <c r="A326" s="10" t="s">
        <v>1273</v>
      </c>
      <c r="B326" s="7" t="s">
        <v>1272</v>
      </c>
      <c r="C326" s="8">
        <v>1</v>
      </c>
      <c r="D326" s="9">
        <v>47.6</v>
      </c>
      <c r="E326" s="9">
        <v>119</v>
      </c>
      <c r="F326" s="8" t="s">
        <v>1271</v>
      </c>
      <c r="G326" s="7" t="s">
        <v>37</v>
      </c>
      <c r="H326" s="10" t="s">
        <v>102</v>
      </c>
      <c r="I326" s="9">
        <v>14.28</v>
      </c>
      <c r="J326" s="7" t="s">
        <v>134</v>
      </c>
      <c r="K326" s="7" t="s">
        <v>1270</v>
      </c>
      <c r="L326" s="11" t="str">
        <f>HYPERLINK("http://slimages.macys.com/is/image/MCY/15633505 ")</f>
        <v xml:space="preserve">http://slimages.macys.com/is/image/MCY/15633505 </v>
      </c>
    </row>
    <row r="327" spans="1:12" ht="60" x14ac:dyDescent="0.25">
      <c r="A327" s="10" t="s">
        <v>521</v>
      </c>
      <c r="B327" s="7" t="s">
        <v>522</v>
      </c>
      <c r="C327" s="8">
        <v>1</v>
      </c>
      <c r="D327" s="9">
        <v>18</v>
      </c>
      <c r="E327" s="9">
        <v>59</v>
      </c>
      <c r="F327" s="8" t="s">
        <v>523</v>
      </c>
      <c r="G327" s="7" t="s">
        <v>114</v>
      </c>
      <c r="H327" s="10" t="s">
        <v>82</v>
      </c>
      <c r="I327" s="9">
        <v>5.4</v>
      </c>
      <c r="J327" s="7" t="s">
        <v>475</v>
      </c>
      <c r="K327" s="7" t="s">
        <v>456</v>
      </c>
      <c r="L327" s="11" t="str">
        <f>HYPERLINK("http://slimages.macys.com/is/image/MCY/15216055 ")</f>
        <v xml:space="preserve">http://slimages.macys.com/is/image/MCY/15216055 </v>
      </c>
    </row>
    <row r="328" spans="1:12" ht="60" x14ac:dyDescent="0.25">
      <c r="A328" s="10" t="s">
        <v>524</v>
      </c>
      <c r="B328" s="7" t="s">
        <v>522</v>
      </c>
      <c r="C328" s="8">
        <v>1</v>
      </c>
      <c r="D328" s="9">
        <v>18</v>
      </c>
      <c r="E328" s="9">
        <v>59</v>
      </c>
      <c r="F328" s="8" t="s">
        <v>523</v>
      </c>
      <c r="G328" s="7" t="s">
        <v>114</v>
      </c>
      <c r="H328" s="10" t="s">
        <v>285</v>
      </c>
      <c r="I328" s="9">
        <v>5.4</v>
      </c>
      <c r="J328" s="7" t="s">
        <v>475</v>
      </c>
      <c r="K328" s="7" t="s">
        <v>456</v>
      </c>
      <c r="L328" s="11" t="str">
        <f>HYPERLINK("http://slimages.macys.com/is/image/MCY/15216055 ")</f>
        <v xml:space="preserve">http://slimages.macys.com/is/image/MCY/15216055 </v>
      </c>
    </row>
    <row r="329" spans="1:12" ht="60" x14ac:dyDescent="0.25">
      <c r="A329" s="10" t="s">
        <v>525</v>
      </c>
      <c r="B329" s="7" t="s">
        <v>522</v>
      </c>
      <c r="C329" s="8">
        <v>2</v>
      </c>
      <c r="D329" s="9">
        <v>18</v>
      </c>
      <c r="E329" s="9">
        <v>59</v>
      </c>
      <c r="F329" s="8" t="s">
        <v>523</v>
      </c>
      <c r="G329" s="7" t="s">
        <v>114</v>
      </c>
      <c r="H329" s="10" t="s">
        <v>212</v>
      </c>
      <c r="I329" s="9">
        <v>5.4</v>
      </c>
      <c r="J329" s="7" t="s">
        <v>475</v>
      </c>
      <c r="K329" s="7" t="s">
        <v>456</v>
      </c>
      <c r="L329" s="11" t="str">
        <f>HYPERLINK("http://slimages.macys.com/is/image/MCY/15216055 ")</f>
        <v xml:space="preserve">http://slimages.macys.com/is/image/MCY/15216055 </v>
      </c>
    </row>
    <row r="330" spans="1:12" ht="48" x14ac:dyDescent="0.25">
      <c r="A330" s="10" t="s">
        <v>1269</v>
      </c>
      <c r="B330" s="7" t="s">
        <v>1268</v>
      </c>
      <c r="C330" s="8">
        <v>1</v>
      </c>
      <c r="D330" s="9">
        <v>67.599999999999994</v>
      </c>
      <c r="E330" s="9">
        <v>169</v>
      </c>
      <c r="F330" s="8" t="s">
        <v>1267</v>
      </c>
      <c r="G330" s="7" t="s">
        <v>27</v>
      </c>
      <c r="H330" s="10" t="s">
        <v>30</v>
      </c>
      <c r="I330" s="9">
        <v>20.28</v>
      </c>
      <c r="J330" s="7" t="s">
        <v>237</v>
      </c>
      <c r="K330" s="7" t="s">
        <v>306</v>
      </c>
      <c r="L330" s="11" t="str">
        <f>HYPERLINK("http://slimages.macys.com/is/image/MCY/15351862 ")</f>
        <v xml:space="preserve">http://slimages.macys.com/is/image/MCY/15351862 </v>
      </c>
    </row>
    <row r="331" spans="1:12" ht="48" x14ac:dyDescent="0.25">
      <c r="A331" s="10" t="s">
        <v>1266</v>
      </c>
      <c r="B331" s="7" t="s">
        <v>681</v>
      </c>
      <c r="C331" s="8">
        <v>1</v>
      </c>
      <c r="D331" s="9">
        <v>51.6</v>
      </c>
      <c r="E331" s="9">
        <v>129</v>
      </c>
      <c r="F331" s="8" t="s">
        <v>680</v>
      </c>
      <c r="G331" s="7" t="s">
        <v>27</v>
      </c>
      <c r="H331" s="10" t="s">
        <v>57</v>
      </c>
      <c r="I331" s="9">
        <v>15.48</v>
      </c>
      <c r="J331" s="7" t="s">
        <v>249</v>
      </c>
      <c r="K331" s="7" t="s">
        <v>557</v>
      </c>
      <c r="L331" s="11" t="str">
        <f>HYPERLINK("http://slimages.macys.com/is/image/MCY/15296974 ")</f>
        <v xml:space="preserve">http://slimages.macys.com/is/image/MCY/15296974 </v>
      </c>
    </row>
    <row r="332" spans="1:12" ht="48" x14ac:dyDescent="0.25">
      <c r="A332" s="10" t="s">
        <v>1265</v>
      </c>
      <c r="B332" s="7" t="s">
        <v>1263</v>
      </c>
      <c r="C332" s="8">
        <v>1</v>
      </c>
      <c r="D332" s="9">
        <v>27.96</v>
      </c>
      <c r="E332" s="9">
        <v>119</v>
      </c>
      <c r="F332" s="8" t="s">
        <v>1262</v>
      </c>
      <c r="G332" s="7" t="s">
        <v>181</v>
      </c>
      <c r="H332" s="10" t="s">
        <v>31</v>
      </c>
      <c r="I332" s="9">
        <v>8.3879999999999999</v>
      </c>
      <c r="J332" s="7" t="s">
        <v>183</v>
      </c>
      <c r="K332" s="7" t="s">
        <v>219</v>
      </c>
      <c r="L332" s="11" t="str">
        <f>HYPERLINK("http://slimages.macys.com/is/image/MCY/15353941 ")</f>
        <v xml:space="preserve">http://slimages.macys.com/is/image/MCY/15353941 </v>
      </c>
    </row>
    <row r="333" spans="1:12" ht="48" x14ac:dyDescent="0.25">
      <c r="A333" s="10" t="s">
        <v>1264</v>
      </c>
      <c r="B333" s="7" t="s">
        <v>1263</v>
      </c>
      <c r="C333" s="8">
        <v>2</v>
      </c>
      <c r="D333" s="9">
        <v>27.96</v>
      </c>
      <c r="E333" s="9">
        <v>119</v>
      </c>
      <c r="F333" s="8" t="s">
        <v>1262</v>
      </c>
      <c r="G333" s="7" t="s">
        <v>181</v>
      </c>
      <c r="H333" s="10" t="s">
        <v>25</v>
      </c>
      <c r="I333" s="9">
        <v>8.3879999999999999</v>
      </c>
      <c r="J333" s="7" t="s">
        <v>183</v>
      </c>
      <c r="K333" s="7" t="s">
        <v>219</v>
      </c>
      <c r="L333" s="11" t="str">
        <f>HYPERLINK("http://slimages.macys.com/is/image/MCY/15353941 ")</f>
        <v xml:space="preserve">http://slimages.macys.com/is/image/MCY/15353941 </v>
      </c>
    </row>
    <row r="334" spans="1:12" ht="48" x14ac:dyDescent="0.25">
      <c r="A334" s="10" t="s">
        <v>1261</v>
      </c>
      <c r="B334" s="7" t="s">
        <v>273</v>
      </c>
      <c r="C334" s="8">
        <v>2</v>
      </c>
      <c r="D334" s="9">
        <v>55</v>
      </c>
      <c r="E334" s="9">
        <v>139</v>
      </c>
      <c r="F334" s="8">
        <v>21621</v>
      </c>
      <c r="G334" s="7" t="s">
        <v>67</v>
      </c>
      <c r="H334" s="10" t="s">
        <v>30</v>
      </c>
      <c r="I334" s="9">
        <v>16.5</v>
      </c>
      <c r="J334" s="7" t="s">
        <v>43</v>
      </c>
      <c r="K334" s="7" t="s">
        <v>61</v>
      </c>
      <c r="L334" s="11" t="str">
        <f>HYPERLINK("http://slimages.macys.com/is/image/MCY/11381743 ")</f>
        <v xml:space="preserve">http://slimages.macys.com/is/image/MCY/11381743 </v>
      </c>
    </row>
    <row r="335" spans="1:12" ht="48" x14ac:dyDescent="0.25">
      <c r="A335" s="10" t="s">
        <v>1260</v>
      </c>
      <c r="B335" s="7" t="s">
        <v>1259</v>
      </c>
      <c r="C335" s="8">
        <v>1</v>
      </c>
      <c r="D335" s="9">
        <v>30</v>
      </c>
      <c r="E335" s="9">
        <v>129</v>
      </c>
      <c r="F335" s="8">
        <v>475645</v>
      </c>
      <c r="G335" s="7"/>
      <c r="H335" s="10" t="s">
        <v>406</v>
      </c>
      <c r="I335" s="9">
        <v>9</v>
      </c>
      <c r="J335" s="7" t="s">
        <v>65</v>
      </c>
      <c r="K335" s="7" t="s">
        <v>52</v>
      </c>
      <c r="L335" s="11" t="str">
        <f>HYPERLINK("http://slimages.macys.com/is/image/MCY/11975641 ")</f>
        <v xml:space="preserve">http://slimages.macys.com/is/image/MCY/11975641 </v>
      </c>
    </row>
    <row r="336" spans="1:12" ht="48" x14ac:dyDescent="0.25">
      <c r="A336" s="10" t="s">
        <v>535</v>
      </c>
      <c r="B336" s="7" t="s">
        <v>536</v>
      </c>
      <c r="C336" s="8">
        <v>1</v>
      </c>
      <c r="D336" s="9">
        <v>16.5</v>
      </c>
      <c r="E336" s="9">
        <v>59</v>
      </c>
      <c r="F336" s="8" t="s">
        <v>537</v>
      </c>
      <c r="G336" s="7" t="s">
        <v>27</v>
      </c>
      <c r="H336" s="10"/>
      <c r="I336" s="9">
        <v>4.95</v>
      </c>
      <c r="J336" s="7" t="s">
        <v>475</v>
      </c>
      <c r="K336" s="7" t="s">
        <v>538</v>
      </c>
      <c r="L336" s="11" t="str">
        <f>HYPERLINK("http://slimages.macys.com/is/image/MCY/14634744 ")</f>
        <v xml:space="preserve">http://slimages.macys.com/is/image/MCY/14634744 </v>
      </c>
    </row>
    <row r="337" spans="1:12" ht="60" x14ac:dyDescent="0.25">
      <c r="A337" s="10" t="s">
        <v>1258</v>
      </c>
      <c r="B337" s="7" t="s">
        <v>1257</v>
      </c>
      <c r="C337" s="8">
        <v>1</v>
      </c>
      <c r="D337" s="9">
        <v>52.5</v>
      </c>
      <c r="E337" s="9">
        <v>125</v>
      </c>
      <c r="F337" s="8">
        <v>251768016001</v>
      </c>
      <c r="G337" s="7" t="s">
        <v>27</v>
      </c>
      <c r="H337" s="10" t="s">
        <v>102</v>
      </c>
      <c r="I337" s="9">
        <v>15.75</v>
      </c>
      <c r="J337" s="7" t="s">
        <v>134</v>
      </c>
      <c r="K337" s="7" t="s">
        <v>123</v>
      </c>
      <c r="L337" s="11" t="str">
        <f>HYPERLINK("http://slimages.macys.com/is/image/MCY/14358803 ")</f>
        <v xml:space="preserve">http://slimages.macys.com/is/image/MCY/14358803 </v>
      </c>
    </row>
    <row r="338" spans="1:12" ht="48" x14ac:dyDescent="0.25">
      <c r="A338" s="10" t="s">
        <v>1256</v>
      </c>
      <c r="B338" s="7" t="s">
        <v>1255</v>
      </c>
      <c r="C338" s="8">
        <v>1</v>
      </c>
      <c r="D338" s="9">
        <v>74.75</v>
      </c>
      <c r="E338" s="9">
        <v>189</v>
      </c>
      <c r="F338" s="8" t="s">
        <v>725</v>
      </c>
      <c r="G338" s="7" t="s">
        <v>45</v>
      </c>
      <c r="H338" s="10" t="s">
        <v>53</v>
      </c>
      <c r="I338" s="9">
        <v>22.425000000000001</v>
      </c>
      <c r="J338" s="7" t="s">
        <v>43</v>
      </c>
      <c r="K338" s="7" t="s">
        <v>138</v>
      </c>
      <c r="L338" s="11" t="str">
        <f>HYPERLINK("http://slimages.macys.com/is/image/MCY/12801092 ")</f>
        <v xml:space="preserve">http://slimages.macys.com/is/image/MCY/12801092 </v>
      </c>
    </row>
    <row r="339" spans="1:12" ht="48" x14ac:dyDescent="0.25">
      <c r="A339" s="10" t="s">
        <v>1254</v>
      </c>
      <c r="B339" s="7" t="s">
        <v>414</v>
      </c>
      <c r="C339" s="8">
        <v>1</v>
      </c>
      <c r="D339" s="9">
        <v>34.340000000000003</v>
      </c>
      <c r="E339" s="9">
        <v>109</v>
      </c>
      <c r="F339" s="8">
        <v>250767977001</v>
      </c>
      <c r="G339" s="7" t="s">
        <v>27</v>
      </c>
      <c r="H339" s="10" t="s">
        <v>35</v>
      </c>
      <c r="I339" s="9">
        <v>10.302</v>
      </c>
      <c r="J339" s="7" t="s">
        <v>137</v>
      </c>
      <c r="K339" s="7" t="s">
        <v>174</v>
      </c>
      <c r="L339" s="11" t="str">
        <f>HYPERLINK("http://slimages.macys.com/is/image/MCY/14806505 ")</f>
        <v xml:space="preserve">http://slimages.macys.com/is/image/MCY/14806505 </v>
      </c>
    </row>
    <row r="340" spans="1:12" ht="48" x14ac:dyDescent="0.25">
      <c r="A340" s="10" t="s">
        <v>415</v>
      </c>
      <c r="B340" s="7" t="s">
        <v>414</v>
      </c>
      <c r="C340" s="8">
        <v>1</v>
      </c>
      <c r="D340" s="9">
        <v>34.340000000000003</v>
      </c>
      <c r="E340" s="9">
        <v>109</v>
      </c>
      <c r="F340" s="8">
        <v>250767977001</v>
      </c>
      <c r="G340" s="7" t="s">
        <v>27</v>
      </c>
      <c r="H340" s="10" t="s">
        <v>28</v>
      </c>
      <c r="I340" s="9">
        <v>10.302</v>
      </c>
      <c r="J340" s="7" t="s">
        <v>137</v>
      </c>
      <c r="K340" s="7" t="s">
        <v>174</v>
      </c>
      <c r="L340" s="11" t="str">
        <f>HYPERLINK("http://slimages.macys.com/is/image/MCY/14806505 ")</f>
        <v xml:space="preserve">http://slimages.macys.com/is/image/MCY/14806505 </v>
      </c>
    </row>
    <row r="341" spans="1:12" ht="48" x14ac:dyDescent="0.25">
      <c r="A341" s="10" t="s">
        <v>1253</v>
      </c>
      <c r="B341" s="7" t="s">
        <v>414</v>
      </c>
      <c r="C341" s="8">
        <v>4</v>
      </c>
      <c r="D341" s="9">
        <v>34.340000000000003</v>
      </c>
      <c r="E341" s="9">
        <v>109</v>
      </c>
      <c r="F341" s="8">
        <v>250767977001</v>
      </c>
      <c r="G341" s="7" t="s">
        <v>27</v>
      </c>
      <c r="H341" s="10" t="s">
        <v>53</v>
      </c>
      <c r="I341" s="9">
        <v>10.302</v>
      </c>
      <c r="J341" s="7" t="s">
        <v>137</v>
      </c>
      <c r="K341" s="7" t="s">
        <v>174</v>
      </c>
      <c r="L341" s="11" t="str">
        <f>HYPERLINK("http://slimages.macys.com/is/image/MCY/14806505 ")</f>
        <v xml:space="preserve">http://slimages.macys.com/is/image/MCY/14806505 </v>
      </c>
    </row>
    <row r="342" spans="1:12" ht="48" x14ac:dyDescent="0.25">
      <c r="A342" s="10" t="s">
        <v>417</v>
      </c>
      <c r="B342" s="7" t="s">
        <v>414</v>
      </c>
      <c r="C342" s="8">
        <v>1</v>
      </c>
      <c r="D342" s="9">
        <v>34.340000000000003</v>
      </c>
      <c r="E342" s="9">
        <v>109</v>
      </c>
      <c r="F342" s="8">
        <v>250767977001</v>
      </c>
      <c r="G342" s="7" t="s">
        <v>27</v>
      </c>
      <c r="H342" s="10" t="s">
        <v>30</v>
      </c>
      <c r="I342" s="9">
        <v>10.302</v>
      </c>
      <c r="J342" s="7" t="s">
        <v>137</v>
      </c>
      <c r="K342" s="7" t="s">
        <v>174</v>
      </c>
      <c r="L342" s="11" t="str">
        <f>HYPERLINK("http://slimages.macys.com/is/image/MCY/14806505 ")</f>
        <v xml:space="preserve">http://slimages.macys.com/is/image/MCY/14806505 </v>
      </c>
    </row>
    <row r="343" spans="1:12" ht="48" x14ac:dyDescent="0.25">
      <c r="A343" s="10" t="s">
        <v>416</v>
      </c>
      <c r="B343" s="7" t="s">
        <v>414</v>
      </c>
      <c r="C343" s="8">
        <v>1</v>
      </c>
      <c r="D343" s="9">
        <v>34.340000000000003</v>
      </c>
      <c r="E343" s="9">
        <v>109</v>
      </c>
      <c r="F343" s="8">
        <v>250767977001</v>
      </c>
      <c r="G343" s="7" t="s">
        <v>27</v>
      </c>
      <c r="H343" s="10" t="s">
        <v>57</v>
      </c>
      <c r="I343" s="9">
        <v>10.302</v>
      </c>
      <c r="J343" s="7" t="s">
        <v>137</v>
      </c>
      <c r="K343" s="7" t="s">
        <v>174</v>
      </c>
      <c r="L343" s="11" t="str">
        <f>HYPERLINK("http://slimages.macys.com/is/image/MCY/14806505 ")</f>
        <v xml:space="preserve">http://slimages.macys.com/is/image/MCY/14806505 </v>
      </c>
    </row>
    <row r="344" spans="1:12" ht="48" x14ac:dyDescent="0.25">
      <c r="A344" s="10" t="s">
        <v>1252</v>
      </c>
      <c r="B344" s="7" t="s">
        <v>705</v>
      </c>
      <c r="C344" s="8">
        <v>1</v>
      </c>
      <c r="D344" s="9">
        <v>55.6</v>
      </c>
      <c r="E344" s="9">
        <v>139</v>
      </c>
      <c r="F344" s="8" t="s">
        <v>704</v>
      </c>
      <c r="G344" s="7" t="s">
        <v>211</v>
      </c>
      <c r="H344" s="10" t="s">
        <v>30</v>
      </c>
      <c r="I344" s="9">
        <v>16.68</v>
      </c>
      <c r="J344" s="7" t="s">
        <v>237</v>
      </c>
      <c r="K344" s="7" t="s">
        <v>61</v>
      </c>
      <c r="L344" s="11" t="str">
        <f>HYPERLINK("http://slimages.macys.com/is/image/MCY/15394010 ")</f>
        <v xml:space="preserve">http://slimages.macys.com/is/image/MCY/15394010 </v>
      </c>
    </row>
    <row r="345" spans="1:12" ht="48" x14ac:dyDescent="0.25">
      <c r="A345" s="10" t="s">
        <v>1251</v>
      </c>
      <c r="B345" s="7" t="s">
        <v>373</v>
      </c>
      <c r="C345" s="8">
        <v>1</v>
      </c>
      <c r="D345" s="9">
        <v>40</v>
      </c>
      <c r="E345" s="9">
        <v>89.98</v>
      </c>
      <c r="F345" s="8" t="s">
        <v>374</v>
      </c>
      <c r="G345" s="7" t="s">
        <v>27</v>
      </c>
      <c r="H345" s="10" t="s">
        <v>68</v>
      </c>
      <c r="I345" s="9">
        <v>12</v>
      </c>
      <c r="J345" s="7" t="s">
        <v>134</v>
      </c>
      <c r="K345" s="7" t="s">
        <v>219</v>
      </c>
      <c r="L345" s="11" t="str">
        <f>HYPERLINK("http://slimages.macys.com/is/image/MCY/13331059 ")</f>
        <v xml:space="preserve">http://slimages.macys.com/is/image/MCY/13331059 </v>
      </c>
    </row>
    <row r="346" spans="1:12" ht="132" x14ac:dyDescent="0.25">
      <c r="A346" s="10" t="s">
        <v>1250</v>
      </c>
      <c r="B346" s="7" t="s">
        <v>1249</v>
      </c>
      <c r="C346" s="8">
        <v>1</v>
      </c>
      <c r="D346" s="9">
        <v>53</v>
      </c>
      <c r="E346" s="9">
        <v>134</v>
      </c>
      <c r="F346" s="8" t="s">
        <v>1248</v>
      </c>
      <c r="G346" s="7" t="s">
        <v>24</v>
      </c>
      <c r="H346" s="10" t="s">
        <v>38</v>
      </c>
      <c r="I346" s="9">
        <v>15.9</v>
      </c>
      <c r="J346" s="7" t="s">
        <v>134</v>
      </c>
      <c r="K346" s="7" t="s">
        <v>1247</v>
      </c>
      <c r="L346" s="11" t="str">
        <f>HYPERLINK("http://slimages.macys.com/is/image/MCY/13761732 ")</f>
        <v xml:space="preserve">http://slimages.macys.com/is/image/MCY/13761732 </v>
      </c>
    </row>
    <row r="347" spans="1:12" ht="96" x14ac:dyDescent="0.25">
      <c r="A347" s="10" t="s">
        <v>1246</v>
      </c>
      <c r="B347" s="7" t="s">
        <v>388</v>
      </c>
      <c r="C347" s="8">
        <v>1</v>
      </c>
      <c r="D347" s="9">
        <v>52.5</v>
      </c>
      <c r="E347" s="9">
        <v>125</v>
      </c>
      <c r="F347" s="8">
        <v>251769064001</v>
      </c>
      <c r="G347" s="7" t="s">
        <v>27</v>
      </c>
      <c r="H347" s="10" t="s">
        <v>40</v>
      </c>
      <c r="I347" s="9">
        <v>15.75</v>
      </c>
      <c r="J347" s="7" t="s">
        <v>134</v>
      </c>
      <c r="K347" s="7" t="s">
        <v>687</v>
      </c>
      <c r="L347" s="11" t="str">
        <f>HYPERLINK("http://slimages.macys.com/is/image/MCY/14792146 ")</f>
        <v xml:space="preserve">http://slimages.macys.com/is/image/MCY/14792146 </v>
      </c>
    </row>
    <row r="348" spans="1:12" ht="96" x14ac:dyDescent="0.25">
      <c r="A348" s="10" t="s">
        <v>1245</v>
      </c>
      <c r="B348" s="7" t="s">
        <v>388</v>
      </c>
      <c r="C348" s="8">
        <v>1</v>
      </c>
      <c r="D348" s="9">
        <v>52.5</v>
      </c>
      <c r="E348" s="9">
        <v>125</v>
      </c>
      <c r="F348" s="8">
        <v>251769064001</v>
      </c>
      <c r="G348" s="7" t="s">
        <v>27</v>
      </c>
      <c r="H348" s="10" t="s">
        <v>225</v>
      </c>
      <c r="I348" s="9">
        <v>15.75</v>
      </c>
      <c r="J348" s="7" t="s">
        <v>134</v>
      </c>
      <c r="K348" s="7" t="s">
        <v>687</v>
      </c>
      <c r="L348" s="11" t="str">
        <f>HYPERLINK("http://slimages.macys.com/is/image/MCY/14792146 ")</f>
        <v xml:space="preserve">http://slimages.macys.com/is/image/MCY/14792146 </v>
      </c>
    </row>
    <row r="349" spans="1:12" ht="96" x14ac:dyDescent="0.25">
      <c r="A349" s="10" t="s">
        <v>688</v>
      </c>
      <c r="B349" s="7" t="s">
        <v>388</v>
      </c>
      <c r="C349" s="8">
        <v>1</v>
      </c>
      <c r="D349" s="9">
        <v>52.5</v>
      </c>
      <c r="E349" s="9">
        <v>125</v>
      </c>
      <c r="F349" s="8">
        <v>251769064001</v>
      </c>
      <c r="G349" s="7" t="s">
        <v>27</v>
      </c>
      <c r="H349" s="10" t="s">
        <v>288</v>
      </c>
      <c r="I349" s="9">
        <v>15.75</v>
      </c>
      <c r="J349" s="7" t="s">
        <v>134</v>
      </c>
      <c r="K349" s="7" t="s">
        <v>687</v>
      </c>
      <c r="L349" s="11" t="str">
        <f>HYPERLINK("http://slimages.macys.com/is/image/MCY/14792146 ")</f>
        <v xml:space="preserve">http://slimages.macys.com/is/image/MCY/14792146 </v>
      </c>
    </row>
    <row r="350" spans="1:12" ht="96" x14ac:dyDescent="0.25">
      <c r="A350" s="10" t="s">
        <v>1244</v>
      </c>
      <c r="B350" s="7" t="s">
        <v>388</v>
      </c>
      <c r="C350" s="8">
        <v>2</v>
      </c>
      <c r="D350" s="9">
        <v>39.380000000000003</v>
      </c>
      <c r="E350" s="9">
        <v>125</v>
      </c>
      <c r="F350" s="8">
        <v>250769064001</v>
      </c>
      <c r="G350" s="7" t="s">
        <v>27</v>
      </c>
      <c r="H350" s="10" t="s">
        <v>53</v>
      </c>
      <c r="I350" s="9">
        <v>11.814</v>
      </c>
      <c r="J350" s="7" t="s">
        <v>137</v>
      </c>
      <c r="K350" s="7" t="s">
        <v>389</v>
      </c>
      <c r="L350" s="11" t="str">
        <f>HYPERLINK("http://slimages.macys.com/is/image/MCY/14792146 ")</f>
        <v xml:space="preserve">http://slimages.macys.com/is/image/MCY/14792146 </v>
      </c>
    </row>
    <row r="351" spans="1:12" ht="48" x14ac:dyDescent="0.25">
      <c r="A351" s="10" t="s">
        <v>1243</v>
      </c>
      <c r="B351" s="7" t="s">
        <v>1242</v>
      </c>
      <c r="C351" s="8">
        <v>1</v>
      </c>
      <c r="D351" s="9">
        <v>55.6</v>
      </c>
      <c r="E351" s="9">
        <v>139</v>
      </c>
      <c r="F351" s="8" t="s">
        <v>1241</v>
      </c>
      <c r="G351" s="7" t="s">
        <v>27</v>
      </c>
      <c r="H351" s="10" t="s">
        <v>40</v>
      </c>
      <c r="I351" s="9">
        <v>16.68</v>
      </c>
      <c r="J351" s="7" t="s">
        <v>134</v>
      </c>
      <c r="K351" s="7" t="s">
        <v>697</v>
      </c>
      <c r="L351" s="11" t="str">
        <f>HYPERLINK("http://slimages.macys.com/is/image/MCY/10894850 ")</f>
        <v xml:space="preserve">http://slimages.macys.com/is/image/MCY/10894850 </v>
      </c>
    </row>
    <row r="352" spans="1:12" ht="120" x14ac:dyDescent="0.25">
      <c r="A352" s="10" t="s">
        <v>1240</v>
      </c>
      <c r="B352" s="7" t="s">
        <v>41</v>
      </c>
      <c r="C352" s="8">
        <v>1</v>
      </c>
      <c r="D352" s="9">
        <v>148</v>
      </c>
      <c r="E352" s="9">
        <v>370</v>
      </c>
      <c r="F352" s="8" t="s">
        <v>42</v>
      </c>
      <c r="G352" s="7" t="s">
        <v>37</v>
      </c>
      <c r="H352" s="10" t="s">
        <v>31</v>
      </c>
      <c r="I352" s="9">
        <v>44.4</v>
      </c>
      <c r="J352" s="7" t="s">
        <v>43</v>
      </c>
      <c r="K352" s="7" t="s">
        <v>44</v>
      </c>
      <c r="L352" s="11" t="str">
        <f>HYPERLINK("http://slimages.macys.com/is/image/MCY/15349399 ")</f>
        <v xml:space="preserve">http://slimages.macys.com/is/image/MCY/15349399 </v>
      </c>
    </row>
    <row r="353" spans="1:12" ht="48" x14ac:dyDescent="0.25">
      <c r="A353" s="10" t="s">
        <v>1239</v>
      </c>
      <c r="B353" s="7" t="s">
        <v>1235</v>
      </c>
      <c r="C353" s="8">
        <v>1</v>
      </c>
      <c r="D353" s="9">
        <v>70.5</v>
      </c>
      <c r="E353" s="9">
        <v>188</v>
      </c>
      <c r="F353" s="8" t="s">
        <v>1234</v>
      </c>
      <c r="G353" s="7" t="s">
        <v>67</v>
      </c>
      <c r="H353" s="10" t="s">
        <v>25</v>
      </c>
      <c r="I353" s="9">
        <v>21.15</v>
      </c>
      <c r="J353" s="7" t="s">
        <v>43</v>
      </c>
      <c r="K353" s="7" t="s">
        <v>61</v>
      </c>
      <c r="L353" s="11" t="str">
        <f>HYPERLINK("http://slimages.macys.com/is/image/MCY/13326069 ")</f>
        <v xml:space="preserve">http://slimages.macys.com/is/image/MCY/13326069 </v>
      </c>
    </row>
    <row r="354" spans="1:12" ht="48" x14ac:dyDescent="0.25">
      <c r="A354" s="10" t="s">
        <v>1238</v>
      </c>
      <c r="B354" s="7" t="s">
        <v>1235</v>
      </c>
      <c r="C354" s="8">
        <v>1</v>
      </c>
      <c r="D354" s="9">
        <v>70.5</v>
      </c>
      <c r="E354" s="9">
        <v>188</v>
      </c>
      <c r="F354" s="8" t="s">
        <v>1234</v>
      </c>
      <c r="G354" s="7" t="s">
        <v>67</v>
      </c>
      <c r="H354" s="10" t="s">
        <v>28</v>
      </c>
      <c r="I354" s="9">
        <v>21.15</v>
      </c>
      <c r="J354" s="7" t="s">
        <v>43</v>
      </c>
      <c r="K354" s="7" t="s">
        <v>61</v>
      </c>
      <c r="L354" s="11" t="str">
        <f>HYPERLINK("http://slimages.macys.com/is/image/MCY/13326069 ")</f>
        <v xml:space="preserve">http://slimages.macys.com/is/image/MCY/13326069 </v>
      </c>
    </row>
    <row r="355" spans="1:12" ht="48" x14ac:dyDescent="0.25">
      <c r="A355" s="10" t="s">
        <v>1237</v>
      </c>
      <c r="B355" s="7" t="s">
        <v>1235</v>
      </c>
      <c r="C355" s="8">
        <v>1</v>
      </c>
      <c r="D355" s="9">
        <v>70.5</v>
      </c>
      <c r="E355" s="9">
        <v>188</v>
      </c>
      <c r="F355" s="8" t="s">
        <v>1234</v>
      </c>
      <c r="G355" s="7" t="s">
        <v>67</v>
      </c>
      <c r="H355" s="10" t="s">
        <v>35</v>
      </c>
      <c r="I355" s="9">
        <v>21.15</v>
      </c>
      <c r="J355" s="7" t="s">
        <v>43</v>
      </c>
      <c r="K355" s="7" t="s">
        <v>61</v>
      </c>
      <c r="L355" s="11" t="str">
        <f>HYPERLINK("http://slimages.macys.com/is/image/MCY/13326069 ")</f>
        <v xml:space="preserve">http://slimages.macys.com/is/image/MCY/13326069 </v>
      </c>
    </row>
    <row r="356" spans="1:12" ht="48" x14ac:dyDescent="0.25">
      <c r="A356" s="10" t="s">
        <v>1236</v>
      </c>
      <c r="B356" s="7" t="s">
        <v>1235</v>
      </c>
      <c r="C356" s="8">
        <v>1</v>
      </c>
      <c r="D356" s="9">
        <v>70.5</v>
      </c>
      <c r="E356" s="9">
        <v>188</v>
      </c>
      <c r="F356" s="8" t="s">
        <v>1234</v>
      </c>
      <c r="G356" s="7" t="s">
        <v>67</v>
      </c>
      <c r="H356" s="10" t="s">
        <v>57</v>
      </c>
      <c r="I356" s="9">
        <v>21.15</v>
      </c>
      <c r="J356" s="7" t="s">
        <v>43</v>
      </c>
      <c r="K356" s="7" t="s">
        <v>61</v>
      </c>
      <c r="L356" s="11" t="str">
        <f>HYPERLINK("http://slimages.macys.com/is/image/MCY/13326069 ")</f>
        <v xml:space="preserve">http://slimages.macys.com/is/image/MCY/13326069 </v>
      </c>
    </row>
    <row r="357" spans="1:12" ht="60" x14ac:dyDescent="0.25">
      <c r="A357" s="10" t="s">
        <v>1233</v>
      </c>
      <c r="B357" s="7" t="s">
        <v>1231</v>
      </c>
      <c r="C357" s="8">
        <v>1</v>
      </c>
      <c r="D357" s="9">
        <v>63</v>
      </c>
      <c r="E357" s="9">
        <v>168</v>
      </c>
      <c r="F357" s="8" t="s">
        <v>1230</v>
      </c>
      <c r="G357" s="7" t="s">
        <v>117</v>
      </c>
      <c r="H357" s="10" t="s">
        <v>25</v>
      </c>
      <c r="I357" s="9">
        <v>18.899999999999999</v>
      </c>
      <c r="J357" s="7" t="s">
        <v>43</v>
      </c>
      <c r="K357" s="7" t="s">
        <v>1229</v>
      </c>
      <c r="L357" s="11" t="str">
        <f>HYPERLINK("http://slimages.macys.com/is/image/MCY/11418537 ")</f>
        <v xml:space="preserve">http://slimages.macys.com/is/image/MCY/11418537 </v>
      </c>
    </row>
    <row r="358" spans="1:12" ht="60" x14ac:dyDescent="0.25">
      <c r="A358" s="10" t="s">
        <v>1232</v>
      </c>
      <c r="B358" s="7" t="s">
        <v>1231</v>
      </c>
      <c r="C358" s="8">
        <v>1</v>
      </c>
      <c r="D358" s="9">
        <v>63</v>
      </c>
      <c r="E358" s="9">
        <v>168</v>
      </c>
      <c r="F358" s="8" t="s">
        <v>1230</v>
      </c>
      <c r="G358" s="7" t="s">
        <v>117</v>
      </c>
      <c r="H358" s="10" t="s">
        <v>28</v>
      </c>
      <c r="I358" s="9">
        <v>18.899999999999999</v>
      </c>
      <c r="J358" s="7" t="s">
        <v>43</v>
      </c>
      <c r="K358" s="7" t="s">
        <v>1229</v>
      </c>
      <c r="L358" s="11" t="str">
        <f>HYPERLINK("http://slimages.macys.com/is/image/MCY/11418537 ")</f>
        <v xml:space="preserve">http://slimages.macys.com/is/image/MCY/11418537 </v>
      </c>
    </row>
    <row r="359" spans="1:12" ht="48" x14ac:dyDescent="0.25">
      <c r="A359" s="10" t="s">
        <v>1228</v>
      </c>
      <c r="B359" s="7" t="s">
        <v>1227</v>
      </c>
      <c r="C359" s="8">
        <v>1</v>
      </c>
      <c r="D359" s="9">
        <v>41</v>
      </c>
      <c r="E359" s="9">
        <v>129</v>
      </c>
      <c r="F359" s="8" t="s">
        <v>1226</v>
      </c>
      <c r="G359" s="7" t="s">
        <v>67</v>
      </c>
      <c r="H359" s="10" t="s">
        <v>403</v>
      </c>
      <c r="I359" s="9">
        <v>12.3</v>
      </c>
      <c r="J359" s="7" t="s">
        <v>382</v>
      </c>
      <c r="K359" s="7" t="s">
        <v>46</v>
      </c>
      <c r="L359" s="11" t="str">
        <f>HYPERLINK("http://slimages.macys.com/is/image/MCY/13802448 ")</f>
        <v xml:space="preserve">http://slimages.macys.com/is/image/MCY/13802448 </v>
      </c>
    </row>
    <row r="360" spans="1:12" ht="60" x14ac:dyDescent="0.25">
      <c r="A360" s="10" t="s">
        <v>1225</v>
      </c>
      <c r="B360" s="7" t="s">
        <v>1224</v>
      </c>
      <c r="C360" s="8">
        <v>1</v>
      </c>
      <c r="D360" s="9">
        <v>50</v>
      </c>
      <c r="E360" s="9">
        <v>159</v>
      </c>
      <c r="F360" s="8" t="s">
        <v>1223</v>
      </c>
      <c r="G360" s="7" t="s">
        <v>56</v>
      </c>
      <c r="H360" s="10" t="s">
        <v>25</v>
      </c>
      <c r="I360" s="9">
        <v>15</v>
      </c>
      <c r="J360" s="7" t="s">
        <v>43</v>
      </c>
      <c r="K360" s="7" t="s">
        <v>36</v>
      </c>
      <c r="L360" s="11" t="str">
        <f>HYPERLINK("http://slimages.macys.com/is/image/MCY/14717549 ")</f>
        <v xml:space="preserve">http://slimages.macys.com/is/image/MCY/14717549 </v>
      </c>
    </row>
    <row r="361" spans="1:12" ht="48" x14ac:dyDescent="0.25">
      <c r="A361" s="10" t="s">
        <v>1222</v>
      </c>
      <c r="B361" s="7" t="s">
        <v>1220</v>
      </c>
      <c r="C361" s="8">
        <v>1</v>
      </c>
      <c r="D361" s="9">
        <v>93.08</v>
      </c>
      <c r="E361" s="9">
        <v>219</v>
      </c>
      <c r="F361" s="8" t="s">
        <v>1219</v>
      </c>
      <c r="G361" s="7" t="s">
        <v>119</v>
      </c>
      <c r="H361" s="10" t="s">
        <v>53</v>
      </c>
      <c r="I361" s="9">
        <v>27.923999999999999</v>
      </c>
      <c r="J361" s="7" t="s">
        <v>118</v>
      </c>
      <c r="K361" s="7" t="s">
        <v>1218</v>
      </c>
      <c r="L361" s="11" t="str">
        <f>HYPERLINK("http://slimages.macys.com/is/image/MCY/15491085 ")</f>
        <v xml:space="preserve">http://slimages.macys.com/is/image/MCY/15491085 </v>
      </c>
    </row>
    <row r="362" spans="1:12" ht="48" x14ac:dyDescent="0.25">
      <c r="A362" s="10" t="s">
        <v>1221</v>
      </c>
      <c r="B362" s="7" t="s">
        <v>1220</v>
      </c>
      <c r="C362" s="8">
        <v>2</v>
      </c>
      <c r="D362" s="9">
        <v>93.08</v>
      </c>
      <c r="E362" s="9">
        <v>219</v>
      </c>
      <c r="F362" s="8" t="s">
        <v>1219</v>
      </c>
      <c r="G362" s="7" t="s">
        <v>67</v>
      </c>
      <c r="H362" s="10" t="s">
        <v>30</v>
      </c>
      <c r="I362" s="9">
        <v>27.923999999999999</v>
      </c>
      <c r="J362" s="7" t="s">
        <v>118</v>
      </c>
      <c r="K362" s="7" t="s">
        <v>1218</v>
      </c>
      <c r="L362" s="11" t="str">
        <f>HYPERLINK("http://slimages.macys.com/is/image/MCY/15491085 ")</f>
        <v xml:space="preserve">http://slimages.macys.com/is/image/MCY/15491085 </v>
      </c>
    </row>
    <row r="363" spans="1:12" ht="48" x14ac:dyDescent="0.25">
      <c r="A363" s="10" t="s">
        <v>1217</v>
      </c>
      <c r="B363" s="7" t="s">
        <v>1216</v>
      </c>
      <c r="C363" s="8">
        <v>1</v>
      </c>
      <c r="D363" s="9">
        <v>70.5</v>
      </c>
      <c r="E363" s="9">
        <v>188</v>
      </c>
      <c r="F363" s="8" t="s">
        <v>1215</v>
      </c>
      <c r="G363" s="7" t="s">
        <v>27</v>
      </c>
      <c r="H363" s="10" t="s">
        <v>28</v>
      </c>
      <c r="I363" s="9">
        <v>21.15</v>
      </c>
      <c r="J363" s="7" t="s">
        <v>43</v>
      </c>
      <c r="K363" s="7" t="s">
        <v>219</v>
      </c>
      <c r="L363" s="11" t="str">
        <f>HYPERLINK("http://slimages.macys.com/is/image/MCY/10792646 ")</f>
        <v xml:space="preserve">http://slimages.macys.com/is/image/MCY/10792646 </v>
      </c>
    </row>
    <row r="364" spans="1:12" ht="48" x14ac:dyDescent="0.25">
      <c r="A364" s="10" t="s">
        <v>176</v>
      </c>
      <c r="B364" s="7" t="s">
        <v>175</v>
      </c>
      <c r="C364" s="8">
        <v>1</v>
      </c>
      <c r="D364" s="9">
        <v>69.3</v>
      </c>
      <c r="E364" s="9">
        <v>165</v>
      </c>
      <c r="F364" s="8">
        <v>250794131001</v>
      </c>
      <c r="G364" s="7" t="s">
        <v>27</v>
      </c>
      <c r="H364" s="10" t="s">
        <v>30</v>
      </c>
      <c r="I364" s="9">
        <v>20.79</v>
      </c>
      <c r="J364" s="7" t="s">
        <v>137</v>
      </c>
      <c r="K364" s="7" t="s">
        <v>138</v>
      </c>
      <c r="L364" s="11" t="str">
        <f>HYPERLINK("http://slimages.macys.com/is/image/MCY/15641077 ")</f>
        <v xml:space="preserve">http://slimages.macys.com/is/image/MCY/15641077 </v>
      </c>
    </row>
    <row r="365" spans="1:12" ht="48" x14ac:dyDescent="0.25">
      <c r="A365" s="10" t="s">
        <v>178</v>
      </c>
      <c r="B365" s="7" t="s">
        <v>175</v>
      </c>
      <c r="C365" s="8">
        <v>1</v>
      </c>
      <c r="D365" s="9">
        <v>69.3</v>
      </c>
      <c r="E365" s="9">
        <v>165</v>
      </c>
      <c r="F365" s="8">
        <v>250794131001</v>
      </c>
      <c r="G365" s="7" t="s">
        <v>27</v>
      </c>
      <c r="H365" s="10" t="s">
        <v>62</v>
      </c>
      <c r="I365" s="9">
        <v>20.79</v>
      </c>
      <c r="J365" s="7" t="s">
        <v>137</v>
      </c>
      <c r="K365" s="7" t="s">
        <v>138</v>
      </c>
      <c r="L365" s="11" t="str">
        <f>HYPERLINK("http://slimages.macys.com/is/image/MCY/15641077 ")</f>
        <v xml:space="preserve">http://slimages.macys.com/is/image/MCY/15641077 </v>
      </c>
    </row>
    <row r="366" spans="1:12" ht="48" x14ac:dyDescent="0.25">
      <c r="A366" s="10" t="s">
        <v>723</v>
      </c>
      <c r="B366" s="7" t="s">
        <v>175</v>
      </c>
      <c r="C366" s="8">
        <v>1</v>
      </c>
      <c r="D366" s="9">
        <v>69.3</v>
      </c>
      <c r="E366" s="9">
        <v>165</v>
      </c>
      <c r="F366" s="8">
        <v>250794131001</v>
      </c>
      <c r="G366" s="7" t="s">
        <v>27</v>
      </c>
      <c r="H366" s="10" t="s">
        <v>35</v>
      </c>
      <c r="I366" s="9">
        <v>20.79</v>
      </c>
      <c r="J366" s="7" t="s">
        <v>137</v>
      </c>
      <c r="K366" s="7" t="s">
        <v>138</v>
      </c>
      <c r="L366" s="11" t="str">
        <f>HYPERLINK("http://slimages.macys.com/is/image/MCY/15641077 ")</f>
        <v xml:space="preserve">http://slimages.macys.com/is/image/MCY/15641077 </v>
      </c>
    </row>
    <row r="367" spans="1:12" ht="72" x14ac:dyDescent="0.25">
      <c r="A367" s="10" t="s">
        <v>618</v>
      </c>
      <c r="B367" s="7" t="s">
        <v>461</v>
      </c>
      <c r="C367" s="8">
        <v>1</v>
      </c>
      <c r="D367" s="9">
        <v>27</v>
      </c>
      <c r="E367" s="9">
        <v>79</v>
      </c>
      <c r="F367" s="8" t="s">
        <v>462</v>
      </c>
      <c r="G367" s="7" t="s">
        <v>340</v>
      </c>
      <c r="H367" s="10" t="s">
        <v>442</v>
      </c>
      <c r="I367" s="9">
        <v>8.1</v>
      </c>
      <c r="J367" s="7" t="s">
        <v>382</v>
      </c>
      <c r="K367" s="7" t="s">
        <v>463</v>
      </c>
      <c r="L367" s="11" t="str">
        <f>HYPERLINK("http://slimages.macys.com/is/image/MCY/13387704 ")</f>
        <v xml:space="preserve">http://slimages.macys.com/is/image/MCY/13387704 </v>
      </c>
    </row>
    <row r="368" spans="1:12" ht="60" x14ac:dyDescent="0.25">
      <c r="A368" s="10" t="s">
        <v>1214</v>
      </c>
      <c r="B368" s="7" t="s">
        <v>200</v>
      </c>
      <c r="C368" s="8">
        <v>2</v>
      </c>
      <c r="D368" s="9">
        <v>65</v>
      </c>
      <c r="E368" s="9">
        <v>178</v>
      </c>
      <c r="F368" s="8" t="s">
        <v>201</v>
      </c>
      <c r="G368" s="7" t="s">
        <v>202</v>
      </c>
      <c r="H368" s="10" t="s">
        <v>28</v>
      </c>
      <c r="I368" s="9">
        <v>19.5</v>
      </c>
      <c r="J368" s="7" t="s">
        <v>43</v>
      </c>
      <c r="K368" s="7" t="s">
        <v>203</v>
      </c>
      <c r="L368" s="11" t="str">
        <f>HYPERLINK("http://slimages.macys.com/is/image/MCY/15709731 ")</f>
        <v xml:space="preserve">http://slimages.macys.com/is/image/MCY/15709731 </v>
      </c>
    </row>
    <row r="369" spans="1:12" ht="48" x14ac:dyDescent="0.25">
      <c r="A369" s="10" t="s">
        <v>1213</v>
      </c>
      <c r="B369" s="7" t="s">
        <v>158</v>
      </c>
      <c r="C369" s="8">
        <v>1</v>
      </c>
      <c r="D369" s="9">
        <v>71.83</v>
      </c>
      <c r="E369" s="9">
        <v>169</v>
      </c>
      <c r="F369" s="8" t="s">
        <v>159</v>
      </c>
      <c r="G369" s="7" t="s">
        <v>67</v>
      </c>
      <c r="H369" s="10" t="s">
        <v>25</v>
      </c>
      <c r="I369" s="9">
        <v>21.548999999999999</v>
      </c>
      <c r="J369" s="7" t="s">
        <v>29</v>
      </c>
      <c r="K369" s="7" t="s">
        <v>66</v>
      </c>
      <c r="L369" s="11" t="str">
        <f>HYPERLINK("http://slimages.macys.com/is/image/MCY/14468614 ")</f>
        <v xml:space="preserve">http://slimages.macys.com/is/image/MCY/14468614 </v>
      </c>
    </row>
    <row r="370" spans="1:12" ht="60" x14ac:dyDescent="0.25">
      <c r="A370" s="10" t="s">
        <v>1212</v>
      </c>
      <c r="B370" s="7" t="s">
        <v>1211</v>
      </c>
      <c r="C370" s="8">
        <v>1</v>
      </c>
      <c r="D370" s="9">
        <v>18.5</v>
      </c>
      <c r="E370" s="9">
        <v>59</v>
      </c>
      <c r="F370" s="8" t="s">
        <v>1210</v>
      </c>
      <c r="G370" s="7" t="s">
        <v>27</v>
      </c>
      <c r="H370" s="10" t="s">
        <v>441</v>
      </c>
      <c r="I370" s="9">
        <v>5.55</v>
      </c>
      <c r="J370" s="7" t="s">
        <v>475</v>
      </c>
      <c r="K370" s="7" t="s">
        <v>36</v>
      </c>
      <c r="L370" s="11" t="str">
        <f>HYPERLINK("http://slimages.macys.com/is/image/MCY/16077642 ")</f>
        <v xml:space="preserve">http://slimages.macys.com/is/image/MCY/16077642 </v>
      </c>
    </row>
    <row r="371" spans="1:12" ht="48" x14ac:dyDescent="0.25">
      <c r="A371" s="10" t="s">
        <v>1209</v>
      </c>
      <c r="B371" s="7" t="s">
        <v>607</v>
      </c>
      <c r="C371" s="8">
        <v>1</v>
      </c>
      <c r="D371" s="9">
        <v>22.5</v>
      </c>
      <c r="E371" s="9">
        <v>69</v>
      </c>
      <c r="F371" s="8" t="s">
        <v>606</v>
      </c>
      <c r="G371" s="7" t="s">
        <v>27</v>
      </c>
      <c r="H371" s="10" t="s">
        <v>419</v>
      </c>
      <c r="I371" s="9">
        <v>6.75</v>
      </c>
      <c r="J371" s="7" t="s">
        <v>475</v>
      </c>
      <c r="K371" s="7" t="s">
        <v>188</v>
      </c>
      <c r="L371" s="11" t="str">
        <f>HYPERLINK("http://slimages.macys.com/is/image/MCY/15668721 ")</f>
        <v xml:space="preserve">http://slimages.macys.com/is/image/MCY/15668721 </v>
      </c>
    </row>
    <row r="372" spans="1:12" ht="60" x14ac:dyDescent="0.25">
      <c r="A372" s="10" t="s">
        <v>587</v>
      </c>
      <c r="B372" s="7" t="s">
        <v>440</v>
      </c>
      <c r="C372" s="8">
        <v>1</v>
      </c>
      <c r="D372" s="9">
        <v>19.25</v>
      </c>
      <c r="E372" s="9">
        <v>59</v>
      </c>
      <c r="F372" s="8" t="s">
        <v>502</v>
      </c>
      <c r="G372" s="7" t="s">
        <v>101</v>
      </c>
      <c r="H372" s="10" t="s">
        <v>419</v>
      </c>
      <c r="I372" s="9">
        <v>5.7750000000000004</v>
      </c>
      <c r="J372" s="7" t="s">
        <v>475</v>
      </c>
      <c r="K372" s="7" t="s">
        <v>36</v>
      </c>
      <c r="L372" s="11" t="str">
        <f>HYPERLINK("http://slimages.macys.com/is/image/MCY/15216767 ")</f>
        <v xml:space="preserve">http://slimages.macys.com/is/image/MCY/15216767 </v>
      </c>
    </row>
    <row r="373" spans="1:12" ht="60" x14ac:dyDescent="0.25">
      <c r="A373" s="10" t="s">
        <v>1208</v>
      </c>
      <c r="B373" s="7" t="s">
        <v>440</v>
      </c>
      <c r="C373" s="8">
        <v>1</v>
      </c>
      <c r="D373" s="9">
        <v>19.25</v>
      </c>
      <c r="E373" s="9">
        <v>59</v>
      </c>
      <c r="F373" s="8" t="s">
        <v>502</v>
      </c>
      <c r="G373" s="7" t="s">
        <v>101</v>
      </c>
      <c r="H373" s="10" t="s">
        <v>403</v>
      </c>
      <c r="I373" s="9">
        <v>5.7750000000000004</v>
      </c>
      <c r="J373" s="7" t="s">
        <v>475</v>
      </c>
      <c r="K373" s="7" t="s">
        <v>36</v>
      </c>
      <c r="L373" s="11" t="str">
        <f>HYPERLINK("http://slimages.macys.com/is/image/MCY/15216767 ")</f>
        <v xml:space="preserve">http://slimages.macys.com/is/image/MCY/15216767 </v>
      </c>
    </row>
    <row r="374" spans="1:12" ht="48" x14ac:dyDescent="0.25">
      <c r="A374" s="10" t="s">
        <v>1207</v>
      </c>
      <c r="B374" s="7" t="s">
        <v>1206</v>
      </c>
      <c r="C374" s="8">
        <v>1</v>
      </c>
      <c r="D374" s="9">
        <v>26</v>
      </c>
      <c r="E374" s="9">
        <v>79</v>
      </c>
      <c r="F374" s="8" t="s">
        <v>1205</v>
      </c>
      <c r="G374" s="7" t="s">
        <v>27</v>
      </c>
      <c r="H374" s="10" t="s">
        <v>53</v>
      </c>
      <c r="I374" s="9">
        <v>7.8</v>
      </c>
      <c r="J374" s="7" t="s">
        <v>182</v>
      </c>
      <c r="K374" s="7" t="s">
        <v>1204</v>
      </c>
      <c r="L374" s="11" t="str">
        <f>HYPERLINK("http://slimages.macys.com/is/image/MCY/12141787 ")</f>
        <v xml:space="preserve">http://slimages.macys.com/is/image/MCY/12141787 </v>
      </c>
    </row>
    <row r="375" spans="1:12" ht="48" x14ac:dyDescent="0.25">
      <c r="A375" s="10" t="s">
        <v>146</v>
      </c>
      <c r="B375" s="7" t="s">
        <v>144</v>
      </c>
      <c r="C375" s="8">
        <v>1</v>
      </c>
      <c r="D375" s="9">
        <v>73.599999999999994</v>
      </c>
      <c r="E375" s="9">
        <v>199</v>
      </c>
      <c r="F375" s="8" t="s">
        <v>145</v>
      </c>
      <c r="G375" s="7" t="s">
        <v>114</v>
      </c>
      <c r="H375" s="10" t="s">
        <v>31</v>
      </c>
      <c r="I375" s="9">
        <v>22.08</v>
      </c>
      <c r="J375" s="7" t="s">
        <v>75</v>
      </c>
      <c r="K375" s="7" t="s">
        <v>61</v>
      </c>
      <c r="L375" s="11" t="str">
        <f>HYPERLINK("http://slimages.macys.com/is/image/MCY/14467090 ")</f>
        <v xml:space="preserve">http://slimages.macys.com/is/image/MCY/14467090 </v>
      </c>
    </row>
    <row r="376" spans="1:12" ht="48" x14ac:dyDescent="0.25">
      <c r="A376" s="10" t="s">
        <v>143</v>
      </c>
      <c r="B376" s="7" t="s">
        <v>144</v>
      </c>
      <c r="C376" s="8">
        <v>4</v>
      </c>
      <c r="D376" s="9">
        <v>73.599999999999994</v>
      </c>
      <c r="E376" s="9">
        <v>199</v>
      </c>
      <c r="F376" s="8" t="s">
        <v>145</v>
      </c>
      <c r="G376" s="7" t="s">
        <v>114</v>
      </c>
      <c r="H376" s="10" t="s">
        <v>28</v>
      </c>
      <c r="I376" s="9">
        <v>22.08</v>
      </c>
      <c r="J376" s="7" t="s">
        <v>75</v>
      </c>
      <c r="K376" s="7" t="s">
        <v>61</v>
      </c>
      <c r="L376" s="11" t="str">
        <f>HYPERLINK("http://slimages.macys.com/is/image/MCY/14467090 ")</f>
        <v xml:space="preserve">http://slimages.macys.com/is/image/MCY/14467090 </v>
      </c>
    </row>
    <row r="377" spans="1:12" ht="72" x14ac:dyDescent="0.25">
      <c r="A377" s="10" t="s">
        <v>1203</v>
      </c>
      <c r="B377" s="7" t="s">
        <v>1202</v>
      </c>
      <c r="C377" s="8">
        <v>1</v>
      </c>
      <c r="D377" s="9">
        <v>57.06</v>
      </c>
      <c r="E377" s="9">
        <v>179</v>
      </c>
      <c r="F377" s="8" t="s">
        <v>1201</v>
      </c>
      <c r="G377" s="7" t="s">
        <v>60</v>
      </c>
      <c r="H377" s="10" t="s">
        <v>53</v>
      </c>
      <c r="I377" s="9">
        <v>17.117999999999999</v>
      </c>
      <c r="J377" s="7" t="s">
        <v>118</v>
      </c>
      <c r="K377" s="7" t="s">
        <v>1200</v>
      </c>
      <c r="L377" s="11" t="str">
        <f>HYPERLINK("http://slimages.macys.com/is/image/MCY/13076277 ")</f>
        <v xml:space="preserve">http://slimages.macys.com/is/image/MCY/13076277 </v>
      </c>
    </row>
    <row r="378" spans="1:12" ht="60" x14ac:dyDescent="0.25">
      <c r="A378" s="10" t="s">
        <v>1199</v>
      </c>
      <c r="B378" s="7" t="s">
        <v>734</v>
      </c>
      <c r="C378" s="8">
        <v>1</v>
      </c>
      <c r="D378" s="9">
        <v>97.33</v>
      </c>
      <c r="E378" s="9">
        <v>229</v>
      </c>
      <c r="F378" s="8" t="s">
        <v>116</v>
      </c>
      <c r="G378" s="7" t="s">
        <v>117</v>
      </c>
      <c r="H378" s="10" t="s">
        <v>728</v>
      </c>
      <c r="I378" s="9">
        <v>29.199000000000002</v>
      </c>
      <c r="J378" s="7" t="s">
        <v>65</v>
      </c>
      <c r="K378" s="7" t="s">
        <v>123</v>
      </c>
      <c r="L378" s="11" t="str">
        <f>HYPERLINK("http://slimages.macys.com/is/image/MCY/15359747 ")</f>
        <v xml:space="preserve">http://slimages.macys.com/is/image/MCY/15359747 </v>
      </c>
    </row>
    <row r="379" spans="1:12" ht="60" x14ac:dyDescent="0.25">
      <c r="A379" s="10" t="s">
        <v>1198</v>
      </c>
      <c r="B379" s="7" t="s">
        <v>734</v>
      </c>
      <c r="C379" s="8">
        <v>1</v>
      </c>
      <c r="D379" s="9">
        <v>97.33</v>
      </c>
      <c r="E379" s="9">
        <v>229</v>
      </c>
      <c r="F379" s="8" t="s">
        <v>116</v>
      </c>
      <c r="G379" s="7" t="s">
        <v>117</v>
      </c>
      <c r="H379" s="10" t="s">
        <v>993</v>
      </c>
      <c r="I379" s="9">
        <v>29.199000000000002</v>
      </c>
      <c r="J379" s="7" t="s">
        <v>65</v>
      </c>
      <c r="K379" s="7" t="s">
        <v>123</v>
      </c>
      <c r="L379" s="11" t="str">
        <f>HYPERLINK("http://slimages.macys.com/is/image/MCY/15359747 ")</f>
        <v xml:space="preserve">http://slimages.macys.com/is/image/MCY/15359747 </v>
      </c>
    </row>
    <row r="380" spans="1:12" ht="60" x14ac:dyDescent="0.25">
      <c r="A380" s="10" t="s">
        <v>735</v>
      </c>
      <c r="B380" s="7" t="s">
        <v>734</v>
      </c>
      <c r="C380" s="8">
        <v>1</v>
      </c>
      <c r="D380" s="9">
        <v>97.33</v>
      </c>
      <c r="E380" s="9">
        <v>229</v>
      </c>
      <c r="F380" s="8" t="s">
        <v>116</v>
      </c>
      <c r="G380" s="7" t="s">
        <v>117</v>
      </c>
      <c r="H380" s="10" t="s">
        <v>733</v>
      </c>
      <c r="I380" s="9">
        <v>29.199000000000002</v>
      </c>
      <c r="J380" s="7" t="s">
        <v>65</v>
      </c>
      <c r="K380" s="7" t="s">
        <v>123</v>
      </c>
      <c r="L380" s="11" t="str">
        <f>HYPERLINK("http://slimages.macys.com/is/image/MCY/15359747 ")</f>
        <v xml:space="preserve">http://slimages.macys.com/is/image/MCY/15359747 </v>
      </c>
    </row>
    <row r="381" spans="1:12" ht="60" x14ac:dyDescent="0.25">
      <c r="A381" s="10" t="s">
        <v>1197</v>
      </c>
      <c r="B381" s="7" t="s">
        <v>1196</v>
      </c>
      <c r="C381" s="8">
        <v>1</v>
      </c>
      <c r="D381" s="9">
        <v>67.599999999999994</v>
      </c>
      <c r="E381" s="9">
        <v>169</v>
      </c>
      <c r="F381" s="8">
        <v>166198</v>
      </c>
      <c r="G381" s="7" t="s">
        <v>246</v>
      </c>
      <c r="H381" s="10" t="s">
        <v>28</v>
      </c>
      <c r="I381" s="9">
        <v>20.28</v>
      </c>
      <c r="J381" s="7" t="s">
        <v>54</v>
      </c>
      <c r="K381" s="7" t="s">
        <v>327</v>
      </c>
      <c r="L381" s="11" t="str">
        <f>HYPERLINK("http://slimages.macys.com/is/image/MCY/3185409 ")</f>
        <v xml:space="preserve">http://slimages.macys.com/is/image/MCY/3185409 </v>
      </c>
    </row>
    <row r="382" spans="1:12" ht="48" x14ac:dyDescent="0.25">
      <c r="A382" s="10" t="s">
        <v>1195</v>
      </c>
      <c r="B382" s="7" t="s">
        <v>1194</v>
      </c>
      <c r="C382" s="8">
        <v>1</v>
      </c>
      <c r="D382" s="9">
        <v>97.33</v>
      </c>
      <c r="E382" s="9">
        <v>229</v>
      </c>
      <c r="F382" s="8" t="s">
        <v>1193</v>
      </c>
      <c r="G382" s="7" t="s">
        <v>45</v>
      </c>
      <c r="H382" s="10" t="s">
        <v>30</v>
      </c>
      <c r="I382" s="9">
        <v>29.199000000000002</v>
      </c>
      <c r="J382" s="7" t="s">
        <v>29</v>
      </c>
      <c r="K382" s="7" t="s">
        <v>66</v>
      </c>
      <c r="L382" s="11" t="str">
        <f>HYPERLINK("http://slimages.macys.com/is/image/MCY/14528969 ")</f>
        <v xml:space="preserve">http://slimages.macys.com/is/image/MCY/14528969 </v>
      </c>
    </row>
    <row r="383" spans="1:12" ht="108" x14ac:dyDescent="0.25">
      <c r="A383" s="10" t="s">
        <v>1192</v>
      </c>
      <c r="B383" s="7" t="s">
        <v>150</v>
      </c>
      <c r="C383" s="8">
        <v>1</v>
      </c>
      <c r="D383" s="9">
        <v>73.5</v>
      </c>
      <c r="E383" s="9">
        <v>175</v>
      </c>
      <c r="F383" s="8">
        <v>250781884001</v>
      </c>
      <c r="G383" s="7" t="s">
        <v>27</v>
      </c>
      <c r="H383" s="10" t="s">
        <v>57</v>
      </c>
      <c r="I383" s="9">
        <v>22.05</v>
      </c>
      <c r="J383" s="7" t="s">
        <v>137</v>
      </c>
      <c r="K383" s="7" t="s">
        <v>151</v>
      </c>
      <c r="L383" s="11" t="str">
        <f t="shared" ref="L383:L388" si="1">HYPERLINK("http://slimages.macys.com/is/image/MCY/15383370 ")</f>
        <v xml:space="preserve">http://slimages.macys.com/is/image/MCY/15383370 </v>
      </c>
    </row>
    <row r="384" spans="1:12" ht="108" x14ac:dyDescent="0.25">
      <c r="A384" s="10" t="s">
        <v>1191</v>
      </c>
      <c r="B384" s="7" t="s">
        <v>150</v>
      </c>
      <c r="C384" s="8">
        <v>2</v>
      </c>
      <c r="D384" s="9">
        <v>73.5</v>
      </c>
      <c r="E384" s="9">
        <v>175</v>
      </c>
      <c r="F384" s="8">
        <v>250781884001</v>
      </c>
      <c r="G384" s="7" t="s">
        <v>27</v>
      </c>
      <c r="H384" s="10" t="s">
        <v>30</v>
      </c>
      <c r="I384" s="9">
        <v>22.05</v>
      </c>
      <c r="J384" s="7" t="s">
        <v>137</v>
      </c>
      <c r="K384" s="7" t="s">
        <v>151</v>
      </c>
      <c r="L384" s="11" t="str">
        <f t="shared" si="1"/>
        <v xml:space="preserve">http://slimages.macys.com/is/image/MCY/15383370 </v>
      </c>
    </row>
    <row r="385" spans="1:12" ht="108" x14ac:dyDescent="0.25">
      <c r="A385" s="10" t="s">
        <v>1190</v>
      </c>
      <c r="B385" s="7" t="s">
        <v>150</v>
      </c>
      <c r="C385" s="8">
        <v>1</v>
      </c>
      <c r="D385" s="9">
        <v>73.5</v>
      </c>
      <c r="E385" s="9">
        <v>175</v>
      </c>
      <c r="F385" s="8">
        <v>251781884001</v>
      </c>
      <c r="G385" s="7" t="s">
        <v>27</v>
      </c>
      <c r="H385" s="10" t="s">
        <v>40</v>
      </c>
      <c r="I385" s="9">
        <v>22.05</v>
      </c>
      <c r="J385" s="7" t="s">
        <v>134</v>
      </c>
      <c r="K385" s="7" t="s">
        <v>151</v>
      </c>
      <c r="L385" s="11" t="str">
        <f t="shared" si="1"/>
        <v xml:space="preserve">http://slimages.macys.com/is/image/MCY/15383370 </v>
      </c>
    </row>
    <row r="386" spans="1:12" ht="108" x14ac:dyDescent="0.25">
      <c r="A386" s="10" t="s">
        <v>1189</v>
      </c>
      <c r="B386" s="7" t="s">
        <v>150</v>
      </c>
      <c r="C386" s="8">
        <v>2</v>
      </c>
      <c r="D386" s="9">
        <v>73.5</v>
      </c>
      <c r="E386" s="9">
        <v>175</v>
      </c>
      <c r="F386" s="8">
        <v>250781884001</v>
      </c>
      <c r="G386" s="7" t="s">
        <v>27</v>
      </c>
      <c r="H386" s="10" t="s">
        <v>53</v>
      </c>
      <c r="I386" s="9">
        <v>22.05</v>
      </c>
      <c r="J386" s="7" t="s">
        <v>137</v>
      </c>
      <c r="K386" s="7" t="s">
        <v>151</v>
      </c>
      <c r="L386" s="11" t="str">
        <f t="shared" si="1"/>
        <v xml:space="preserve">http://slimages.macys.com/is/image/MCY/15383370 </v>
      </c>
    </row>
    <row r="387" spans="1:12" ht="108" x14ac:dyDescent="0.25">
      <c r="A387" s="10" t="s">
        <v>149</v>
      </c>
      <c r="B387" s="7" t="s">
        <v>150</v>
      </c>
      <c r="C387" s="8">
        <v>1</v>
      </c>
      <c r="D387" s="9">
        <v>73.5</v>
      </c>
      <c r="E387" s="9">
        <v>175</v>
      </c>
      <c r="F387" s="8">
        <v>250781884001</v>
      </c>
      <c r="G387" s="7" t="s">
        <v>27</v>
      </c>
      <c r="H387" s="10" t="s">
        <v>28</v>
      </c>
      <c r="I387" s="9">
        <v>22.05</v>
      </c>
      <c r="J387" s="7" t="s">
        <v>137</v>
      </c>
      <c r="K387" s="7" t="s">
        <v>151</v>
      </c>
      <c r="L387" s="11" t="str">
        <f t="shared" si="1"/>
        <v xml:space="preserve">http://slimages.macys.com/is/image/MCY/15383370 </v>
      </c>
    </row>
    <row r="388" spans="1:12" ht="108" x14ac:dyDescent="0.25">
      <c r="A388" s="10" t="s">
        <v>724</v>
      </c>
      <c r="B388" s="7" t="s">
        <v>150</v>
      </c>
      <c r="C388" s="8">
        <v>1</v>
      </c>
      <c r="D388" s="9">
        <v>73.5</v>
      </c>
      <c r="E388" s="9">
        <v>175</v>
      </c>
      <c r="F388" s="8">
        <v>250781884001</v>
      </c>
      <c r="G388" s="7" t="s">
        <v>27</v>
      </c>
      <c r="H388" s="10" t="s">
        <v>35</v>
      </c>
      <c r="I388" s="9">
        <v>22.05</v>
      </c>
      <c r="J388" s="7" t="s">
        <v>137</v>
      </c>
      <c r="K388" s="7" t="s">
        <v>151</v>
      </c>
      <c r="L388" s="11" t="str">
        <f t="shared" si="1"/>
        <v xml:space="preserve">http://slimages.macys.com/is/image/MCY/15383370 </v>
      </c>
    </row>
    <row r="389" spans="1:12" ht="48" x14ac:dyDescent="0.25">
      <c r="A389" s="10" t="s">
        <v>1188</v>
      </c>
      <c r="B389" s="7" t="s">
        <v>1187</v>
      </c>
      <c r="C389" s="8">
        <v>1</v>
      </c>
      <c r="D389" s="9">
        <v>17</v>
      </c>
      <c r="E389" s="9">
        <v>59</v>
      </c>
      <c r="F389" s="8" t="s">
        <v>1186</v>
      </c>
      <c r="G389" s="7"/>
      <c r="H389" s="10" t="s">
        <v>441</v>
      </c>
      <c r="I389" s="9">
        <v>5.0999999999999996</v>
      </c>
      <c r="J389" s="7" t="s">
        <v>475</v>
      </c>
      <c r="K389" s="7" t="s">
        <v>61</v>
      </c>
      <c r="L389" s="11" t="str">
        <f>HYPERLINK("http://slimages.macys.com/is/image/MCY/14631576 ")</f>
        <v xml:space="preserve">http://slimages.macys.com/is/image/MCY/14631576 </v>
      </c>
    </row>
    <row r="390" spans="1:12" ht="72" x14ac:dyDescent="0.25">
      <c r="A390" s="10" t="s">
        <v>269</v>
      </c>
      <c r="B390" s="7" t="s">
        <v>270</v>
      </c>
      <c r="C390" s="8">
        <v>1</v>
      </c>
      <c r="D390" s="9">
        <v>55.6</v>
      </c>
      <c r="E390" s="9">
        <v>139</v>
      </c>
      <c r="F390" s="8" t="s">
        <v>271</v>
      </c>
      <c r="G390" s="7" t="s">
        <v>27</v>
      </c>
      <c r="H390" s="10" t="s">
        <v>30</v>
      </c>
      <c r="I390" s="9">
        <v>16.68</v>
      </c>
      <c r="J390" s="7" t="s">
        <v>237</v>
      </c>
      <c r="K390" s="7" t="s">
        <v>272</v>
      </c>
      <c r="L390" s="11" t="str">
        <f>HYPERLINK("http://slimages.macys.com/is/image/MCY/15649916 ")</f>
        <v xml:space="preserve">http://slimages.macys.com/is/image/MCY/15649916 </v>
      </c>
    </row>
    <row r="391" spans="1:12" ht="72" x14ac:dyDescent="0.25">
      <c r="A391" s="10" t="s">
        <v>1185</v>
      </c>
      <c r="B391" s="7" t="s">
        <v>270</v>
      </c>
      <c r="C391" s="8">
        <v>1</v>
      </c>
      <c r="D391" s="9">
        <v>55.6</v>
      </c>
      <c r="E391" s="9">
        <v>139</v>
      </c>
      <c r="F391" s="8" t="s">
        <v>271</v>
      </c>
      <c r="G391" s="7" t="s">
        <v>27</v>
      </c>
      <c r="H391" s="10" t="s">
        <v>25</v>
      </c>
      <c r="I391" s="9">
        <v>16.68</v>
      </c>
      <c r="J391" s="7" t="s">
        <v>237</v>
      </c>
      <c r="K391" s="7" t="s">
        <v>272</v>
      </c>
      <c r="L391" s="11" t="str">
        <f>HYPERLINK("http://slimages.macys.com/is/image/MCY/15649916 ")</f>
        <v xml:space="preserve">http://slimages.macys.com/is/image/MCY/15649916 </v>
      </c>
    </row>
    <row r="392" spans="1:12" ht="60" x14ac:dyDescent="0.25">
      <c r="A392" s="10" t="s">
        <v>1184</v>
      </c>
      <c r="B392" s="7" t="s">
        <v>136</v>
      </c>
      <c r="C392" s="8">
        <v>1</v>
      </c>
      <c r="D392" s="9">
        <v>77.7</v>
      </c>
      <c r="E392" s="9">
        <v>185</v>
      </c>
      <c r="F392" s="8">
        <v>250794256001</v>
      </c>
      <c r="G392" s="7" t="s">
        <v>27</v>
      </c>
      <c r="H392" s="10" t="s">
        <v>25</v>
      </c>
      <c r="I392" s="9">
        <v>23.31</v>
      </c>
      <c r="J392" s="7" t="s">
        <v>137</v>
      </c>
      <c r="K392" s="7" t="s">
        <v>123</v>
      </c>
      <c r="L392" s="11" t="str">
        <f>HYPERLINK("http://slimages.macys.com/is/image/MCY/15383255 ")</f>
        <v xml:space="preserve">http://slimages.macys.com/is/image/MCY/15383255 </v>
      </c>
    </row>
    <row r="393" spans="1:12" ht="60" x14ac:dyDescent="0.25">
      <c r="A393" s="10" t="s">
        <v>1183</v>
      </c>
      <c r="B393" s="7" t="s">
        <v>136</v>
      </c>
      <c r="C393" s="8">
        <v>1</v>
      </c>
      <c r="D393" s="9">
        <v>77.7</v>
      </c>
      <c r="E393" s="9">
        <v>185</v>
      </c>
      <c r="F393" s="8">
        <v>250794256001</v>
      </c>
      <c r="G393" s="7" t="s">
        <v>27</v>
      </c>
      <c r="H393" s="10" t="s">
        <v>57</v>
      </c>
      <c r="I393" s="9">
        <v>23.31</v>
      </c>
      <c r="J393" s="7" t="s">
        <v>137</v>
      </c>
      <c r="K393" s="7" t="s">
        <v>123</v>
      </c>
      <c r="L393" s="11" t="str">
        <f>HYPERLINK("http://slimages.macys.com/is/image/MCY/15383255 ")</f>
        <v xml:space="preserve">http://slimages.macys.com/is/image/MCY/15383255 </v>
      </c>
    </row>
    <row r="394" spans="1:12" ht="60" x14ac:dyDescent="0.25">
      <c r="A394" s="10" t="s">
        <v>135</v>
      </c>
      <c r="B394" s="7" t="s">
        <v>136</v>
      </c>
      <c r="C394" s="8">
        <v>1</v>
      </c>
      <c r="D394" s="9">
        <v>77.7</v>
      </c>
      <c r="E394" s="9">
        <v>185</v>
      </c>
      <c r="F394" s="8">
        <v>250794256001</v>
      </c>
      <c r="G394" s="7" t="s">
        <v>27</v>
      </c>
      <c r="H394" s="10" t="s">
        <v>30</v>
      </c>
      <c r="I394" s="9">
        <v>23.31</v>
      </c>
      <c r="J394" s="7" t="s">
        <v>137</v>
      </c>
      <c r="K394" s="7" t="s">
        <v>123</v>
      </c>
      <c r="L394" s="11" t="str">
        <f>HYPERLINK("http://slimages.macys.com/is/image/MCY/15383255 ")</f>
        <v xml:space="preserve">http://slimages.macys.com/is/image/MCY/15383255 </v>
      </c>
    </row>
    <row r="395" spans="1:12" ht="60" x14ac:dyDescent="0.25">
      <c r="A395" s="10" t="s">
        <v>1182</v>
      </c>
      <c r="B395" s="7" t="s">
        <v>136</v>
      </c>
      <c r="C395" s="8">
        <v>1</v>
      </c>
      <c r="D395" s="9">
        <v>77.7</v>
      </c>
      <c r="E395" s="9">
        <v>185</v>
      </c>
      <c r="F395" s="8">
        <v>250794256001</v>
      </c>
      <c r="G395" s="7" t="s">
        <v>27</v>
      </c>
      <c r="H395" s="10" t="s">
        <v>35</v>
      </c>
      <c r="I395" s="9">
        <v>23.31</v>
      </c>
      <c r="J395" s="7" t="s">
        <v>137</v>
      </c>
      <c r="K395" s="7" t="s">
        <v>123</v>
      </c>
      <c r="L395" s="11" t="str">
        <f>HYPERLINK("http://slimages.macys.com/is/image/MCY/15383255 ")</f>
        <v xml:space="preserve">http://slimages.macys.com/is/image/MCY/15383255 </v>
      </c>
    </row>
    <row r="396" spans="1:12" ht="60" x14ac:dyDescent="0.25">
      <c r="A396" s="10" t="s">
        <v>1181</v>
      </c>
      <c r="B396" s="7" t="s">
        <v>1180</v>
      </c>
      <c r="C396" s="8">
        <v>1</v>
      </c>
      <c r="D396" s="9">
        <v>20</v>
      </c>
      <c r="E396" s="9">
        <v>69</v>
      </c>
      <c r="F396" s="8" t="s">
        <v>573</v>
      </c>
      <c r="G396" s="7"/>
      <c r="H396" s="10" t="s">
        <v>285</v>
      </c>
      <c r="I396" s="9">
        <v>6</v>
      </c>
      <c r="J396" s="7" t="s">
        <v>382</v>
      </c>
      <c r="K396" s="7" t="s">
        <v>327</v>
      </c>
      <c r="L396" s="11" t="str">
        <f>HYPERLINK("http://slimages.macys.com/is/image/MCY/15212592 ")</f>
        <v xml:space="preserve">http://slimages.macys.com/is/image/MCY/15212592 </v>
      </c>
    </row>
    <row r="397" spans="1:12" ht="48" x14ac:dyDescent="0.25">
      <c r="A397" s="10" t="s">
        <v>1179</v>
      </c>
      <c r="B397" s="7" t="s">
        <v>1178</v>
      </c>
      <c r="C397" s="8">
        <v>1</v>
      </c>
      <c r="D397" s="9">
        <v>46</v>
      </c>
      <c r="E397" s="9">
        <v>99.98</v>
      </c>
      <c r="F397" s="8" t="s">
        <v>1177</v>
      </c>
      <c r="G397" s="7" t="s">
        <v>37</v>
      </c>
      <c r="H397" s="10" t="s">
        <v>185</v>
      </c>
      <c r="I397" s="9">
        <v>13.8</v>
      </c>
      <c r="J397" s="7" t="s">
        <v>187</v>
      </c>
      <c r="K397" s="7" t="s">
        <v>103</v>
      </c>
      <c r="L397" s="11" t="str">
        <f>HYPERLINK("http://slimages.macys.com/is/image/MCY/11688951 ")</f>
        <v xml:space="preserve">http://slimages.macys.com/is/image/MCY/11688951 </v>
      </c>
    </row>
    <row r="398" spans="1:12" ht="48" x14ac:dyDescent="0.25">
      <c r="A398" s="10" t="s">
        <v>1176</v>
      </c>
      <c r="B398" s="7" t="s">
        <v>375</v>
      </c>
      <c r="C398" s="8">
        <v>2</v>
      </c>
      <c r="D398" s="9">
        <v>40</v>
      </c>
      <c r="E398" s="9">
        <v>89.98</v>
      </c>
      <c r="F398" s="8" t="s">
        <v>376</v>
      </c>
      <c r="G398" s="7" t="s">
        <v>377</v>
      </c>
      <c r="H398" s="10" t="s">
        <v>57</v>
      </c>
      <c r="I398" s="9">
        <v>12</v>
      </c>
      <c r="J398" s="7" t="s">
        <v>237</v>
      </c>
      <c r="K398" s="7" t="s">
        <v>378</v>
      </c>
      <c r="L398" s="11" t="str">
        <f>HYPERLINK("http://slimages.macys.com/is/image/MCY/12873761 ")</f>
        <v xml:space="preserve">http://slimages.macys.com/is/image/MCY/12873761 </v>
      </c>
    </row>
    <row r="399" spans="1:12" ht="48" x14ac:dyDescent="0.25">
      <c r="A399" s="10" t="s">
        <v>647</v>
      </c>
      <c r="B399" s="7" t="s">
        <v>375</v>
      </c>
      <c r="C399" s="8">
        <v>1</v>
      </c>
      <c r="D399" s="9">
        <v>40</v>
      </c>
      <c r="E399" s="9">
        <v>89.98</v>
      </c>
      <c r="F399" s="8" t="s">
        <v>376</v>
      </c>
      <c r="G399" s="7" t="s">
        <v>377</v>
      </c>
      <c r="H399" s="10" t="s">
        <v>35</v>
      </c>
      <c r="I399" s="9">
        <v>12</v>
      </c>
      <c r="J399" s="7" t="s">
        <v>237</v>
      </c>
      <c r="K399" s="7" t="s">
        <v>378</v>
      </c>
      <c r="L399" s="11" t="str">
        <f>HYPERLINK("http://slimages.macys.com/is/image/MCY/12873761 ")</f>
        <v xml:space="preserve">http://slimages.macys.com/is/image/MCY/12873761 </v>
      </c>
    </row>
    <row r="400" spans="1:12" ht="48" x14ac:dyDescent="0.25">
      <c r="A400" s="10" t="s">
        <v>1175</v>
      </c>
      <c r="B400" s="7" t="s">
        <v>632</v>
      </c>
      <c r="C400" s="8">
        <v>1</v>
      </c>
      <c r="D400" s="9">
        <v>38.700000000000003</v>
      </c>
      <c r="E400" s="9">
        <v>129</v>
      </c>
      <c r="F400" s="8" t="s">
        <v>631</v>
      </c>
      <c r="G400" s="7" t="s">
        <v>45</v>
      </c>
      <c r="H400" s="10" t="s">
        <v>25</v>
      </c>
      <c r="I400" s="9">
        <v>11.61</v>
      </c>
      <c r="J400" s="7" t="s">
        <v>249</v>
      </c>
      <c r="K400" s="7" t="s">
        <v>219</v>
      </c>
      <c r="L400" s="11" t="str">
        <f>HYPERLINK("http://slimages.macys.com/is/image/MCY/10269803 ")</f>
        <v xml:space="preserve">http://slimages.macys.com/is/image/MCY/10269803 </v>
      </c>
    </row>
    <row r="401" spans="1:12" ht="48" x14ac:dyDescent="0.25">
      <c r="A401" s="10" t="s">
        <v>1174</v>
      </c>
      <c r="B401" s="7" t="s">
        <v>1173</v>
      </c>
      <c r="C401" s="8">
        <v>1</v>
      </c>
      <c r="D401" s="9">
        <v>27</v>
      </c>
      <c r="E401" s="9">
        <v>89</v>
      </c>
      <c r="F401" s="8" t="s">
        <v>1172</v>
      </c>
      <c r="G401" s="7" t="s">
        <v>443</v>
      </c>
      <c r="H401" s="10" t="s">
        <v>1171</v>
      </c>
      <c r="I401" s="9">
        <v>8.1</v>
      </c>
      <c r="J401" s="7" t="s">
        <v>187</v>
      </c>
      <c r="K401" s="7" t="s">
        <v>61</v>
      </c>
      <c r="L401" s="11" t="str">
        <f>HYPERLINK("http://slimages.macys.com/is/image/MCY/12282281 ")</f>
        <v xml:space="preserve">http://slimages.macys.com/is/image/MCY/12282281 </v>
      </c>
    </row>
    <row r="402" spans="1:12" ht="48" x14ac:dyDescent="0.25">
      <c r="A402" s="10" t="s">
        <v>1170</v>
      </c>
      <c r="B402" s="7" t="s">
        <v>511</v>
      </c>
      <c r="C402" s="8">
        <v>1</v>
      </c>
      <c r="D402" s="9">
        <v>18.899999999999999</v>
      </c>
      <c r="E402" s="9">
        <v>59</v>
      </c>
      <c r="F402" s="8" t="s">
        <v>512</v>
      </c>
      <c r="G402" s="7" t="s">
        <v>27</v>
      </c>
      <c r="H402" s="10" t="s">
        <v>402</v>
      </c>
      <c r="I402" s="9">
        <v>5.67</v>
      </c>
      <c r="J402" s="7" t="s">
        <v>475</v>
      </c>
      <c r="K402" s="7" t="s">
        <v>72</v>
      </c>
      <c r="L402" s="11" t="str">
        <f>HYPERLINK("http://slimages.macys.com/is/image/MCY/15440893 ")</f>
        <v xml:space="preserve">http://slimages.macys.com/is/image/MCY/15440893 </v>
      </c>
    </row>
    <row r="403" spans="1:12" ht="72" x14ac:dyDescent="0.25">
      <c r="A403" s="10" t="s">
        <v>1169</v>
      </c>
      <c r="B403" s="7" t="s">
        <v>1168</v>
      </c>
      <c r="C403" s="8">
        <v>1</v>
      </c>
      <c r="D403" s="9">
        <v>72</v>
      </c>
      <c r="E403" s="9">
        <v>179</v>
      </c>
      <c r="F403" s="8" t="s">
        <v>1167</v>
      </c>
      <c r="G403" s="7" t="s">
        <v>211</v>
      </c>
      <c r="H403" s="10" t="s">
        <v>35</v>
      </c>
      <c r="I403" s="9">
        <v>21.6</v>
      </c>
      <c r="J403" s="7" t="s">
        <v>54</v>
      </c>
      <c r="K403" s="7" t="s">
        <v>1166</v>
      </c>
      <c r="L403" s="11" t="str">
        <f>HYPERLINK("http://slimages.macys.com/is/image/MCY/15209159 ")</f>
        <v xml:space="preserve">http://slimages.macys.com/is/image/MCY/15209159 </v>
      </c>
    </row>
    <row r="404" spans="1:12" ht="48" x14ac:dyDescent="0.25">
      <c r="A404" s="10" t="s">
        <v>1165</v>
      </c>
      <c r="B404" s="7" t="s">
        <v>1164</v>
      </c>
      <c r="C404" s="8">
        <v>1</v>
      </c>
      <c r="D404" s="9">
        <v>41.65</v>
      </c>
      <c r="E404" s="9">
        <v>119</v>
      </c>
      <c r="F404" s="8">
        <v>9171517</v>
      </c>
      <c r="G404" s="7" t="s">
        <v>324</v>
      </c>
      <c r="H404" s="10" t="s">
        <v>35</v>
      </c>
      <c r="I404" s="9">
        <v>12.494999999999999</v>
      </c>
      <c r="J404" s="7" t="s">
        <v>54</v>
      </c>
      <c r="K404" s="7" t="s">
        <v>52</v>
      </c>
      <c r="L404" s="11" t="str">
        <f>HYPERLINK("http://slimages.macys.com/is/image/MCY/15393585 ")</f>
        <v xml:space="preserve">http://slimages.macys.com/is/image/MCY/15393585 </v>
      </c>
    </row>
    <row r="405" spans="1:12" ht="48" x14ac:dyDescent="0.25">
      <c r="A405" s="10" t="s">
        <v>1163</v>
      </c>
      <c r="B405" s="7" t="s">
        <v>1162</v>
      </c>
      <c r="C405" s="8">
        <v>1</v>
      </c>
      <c r="D405" s="9">
        <v>32.4</v>
      </c>
      <c r="E405" s="9">
        <v>98</v>
      </c>
      <c r="F405" s="8" t="s">
        <v>1161</v>
      </c>
      <c r="G405" s="7" t="s">
        <v>184</v>
      </c>
      <c r="H405" s="10" t="s">
        <v>25</v>
      </c>
      <c r="I405" s="9">
        <v>9.7200000000000006</v>
      </c>
      <c r="J405" s="7" t="s">
        <v>79</v>
      </c>
      <c r="K405" s="7" t="s">
        <v>61</v>
      </c>
      <c r="L405" s="11" t="str">
        <f>HYPERLINK("http://slimages.macys.com/is/image/MCY/14817020 ")</f>
        <v xml:space="preserve">http://slimages.macys.com/is/image/MCY/14817020 </v>
      </c>
    </row>
    <row r="406" spans="1:12" ht="48" x14ac:dyDescent="0.25">
      <c r="A406" s="10" t="s">
        <v>90</v>
      </c>
      <c r="B406" s="7" t="s">
        <v>91</v>
      </c>
      <c r="C406" s="8">
        <v>1</v>
      </c>
      <c r="D406" s="9">
        <v>94.86</v>
      </c>
      <c r="E406" s="9">
        <v>279</v>
      </c>
      <c r="F406" s="8" t="s">
        <v>92</v>
      </c>
      <c r="G406" s="7"/>
      <c r="H406" s="10" t="s">
        <v>35</v>
      </c>
      <c r="I406" s="9">
        <v>28.457999999999998</v>
      </c>
      <c r="J406" s="7" t="s">
        <v>29</v>
      </c>
      <c r="K406" s="7" t="s">
        <v>52</v>
      </c>
      <c r="L406" s="11" t="str">
        <f>HYPERLINK("http://slimages.macys.com/is/image/MCY/12950704 ")</f>
        <v xml:space="preserve">http://slimages.macys.com/is/image/MCY/12950704 </v>
      </c>
    </row>
    <row r="407" spans="1:12" ht="48" x14ac:dyDescent="0.25">
      <c r="A407" s="10" t="s">
        <v>351</v>
      </c>
      <c r="B407" s="7" t="s">
        <v>349</v>
      </c>
      <c r="C407" s="8">
        <v>2</v>
      </c>
      <c r="D407" s="9">
        <v>43</v>
      </c>
      <c r="E407" s="9">
        <v>108</v>
      </c>
      <c r="F407" s="8" t="s">
        <v>350</v>
      </c>
      <c r="G407" s="7" t="s">
        <v>211</v>
      </c>
      <c r="H407" s="10" t="s">
        <v>35</v>
      </c>
      <c r="I407" s="9">
        <v>12.9</v>
      </c>
      <c r="J407" s="7" t="s">
        <v>79</v>
      </c>
      <c r="K407" s="7" t="s">
        <v>61</v>
      </c>
      <c r="L407" s="11" t="str">
        <f>HYPERLINK("http://slimages.macys.com/is/image/MCY/14815920 ")</f>
        <v xml:space="preserve">http://slimages.macys.com/is/image/MCY/14815920 </v>
      </c>
    </row>
    <row r="408" spans="1:12" ht="48" x14ac:dyDescent="0.25">
      <c r="A408" s="10" t="s">
        <v>1160</v>
      </c>
      <c r="B408" s="7" t="s">
        <v>349</v>
      </c>
      <c r="C408" s="8">
        <v>1</v>
      </c>
      <c r="D408" s="9">
        <v>43</v>
      </c>
      <c r="E408" s="9">
        <v>108</v>
      </c>
      <c r="F408" s="8" t="s">
        <v>350</v>
      </c>
      <c r="G408" s="7" t="s">
        <v>211</v>
      </c>
      <c r="H408" s="10" t="s">
        <v>53</v>
      </c>
      <c r="I408" s="9">
        <v>12.9</v>
      </c>
      <c r="J408" s="7" t="s">
        <v>79</v>
      </c>
      <c r="K408" s="7" t="s">
        <v>61</v>
      </c>
      <c r="L408" s="11" t="str">
        <f>HYPERLINK("http://slimages.macys.com/is/image/MCY/14815920 ")</f>
        <v xml:space="preserve">http://slimages.macys.com/is/image/MCY/14815920 </v>
      </c>
    </row>
    <row r="409" spans="1:12" ht="48" x14ac:dyDescent="0.25">
      <c r="A409" s="10" t="s">
        <v>1159</v>
      </c>
      <c r="B409" s="7" t="s">
        <v>349</v>
      </c>
      <c r="C409" s="8">
        <v>2</v>
      </c>
      <c r="D409" s="9">
        <v>43</v>
      </c>
      <c r="E409" s="9">
        <v>108</v>
      </c>
      <c r="F409" s="8" t="s">
        <v>350</v>
      </c>
      <c r="G409" s="7" t="s">
        <v>211</v>
      </c>
      <c r="H409" s="10" t="s">
        <v>57</v>
      </c>
      <c r="I409" s="9">
        <v>12.9</v>
      </c>
      <c r="J409" s="7" t="s">
        <v>79</v>
      </c>
      <c r="K409" s="7" t="s">
        <v>61</v>
      </c>
      <c r="L409" s="11" t="str">
        <f>HYPERLINK("http://slimages.macys.com/is/image/MCY/14815920 ")</f>
        <v xml:space="preserve">http://slimages.macys.com/is/image/MCY/14815920 </v>
      </c>
    </row>
    <row r="410" spans="1:12" ht="48" x14ac:dyDescent="0.25">
      <c r="A410" s="10" t="s">
        <v>1158</v>
      </c>
      <c r="B410" s="7" t="s">
        <v>579</v>
      </c>
      <c r="C410" s="8">
        <v>1</v>
      </c>
      <c r="D410" s="9">
        <v>18.5</v>
      </c>
      <c r="E410" s="9">
        <v>59</v>
      </c>
      <c r="F410" s="8" t="s">
        <v>578</v>
      </c>
      <c r="G410" s="7"/>
      <c r="H410" s="10" t="s">
        <v>419</v>
      </c>
      <c r="I410" s="9">
        <v>5.55</v>
      </c>
      <c r="J410" s="7" t="s">
        <v>475</v>
      </c>
      <c r="K410" s="7" t="s">
        <v>61</v>
      </c>
      <c r="L410" s="11" t="str">
        <f>HYPERLINK("http://slimages.macys.com/is/image/MCY/15179419 ")</f>
        <v xml:space="preserve">http://slimages.macys.com/is/image/MCY/15179419 </v>
      </c>
    </row>
    <row r="411" spans="1:12" ht="48" x14ac:dyDescent="0.25">
      <c r="A411" s="10" t="s">
        <v>580</v>
      </c>
      <c r="B411" s="7" t="s">
        <v>579</v>
      </c>
      <c r="C411" s="8">
        <v>1</v>
      </c>
      <c r="D411" s="9">
        <v>18.5</v>
      </c>
      <c r="E411" s="9">
        <v>59</v>
      </c>
      <c r="F411" s="8" t="s">
        <v>578</v>
      </c>
      <c r="G411" s="7"/>
      <c r="H411" s="10" t="s">
        <v>441</v>
      </c>
      <c r="I411" s="9">
        <v>5.55</v>
      </c>
      <c r="J411" s="7" t="s">
        <v>475</v>
      </c>
      <c r="K411" s="7" t="s">
        <v>61</v>
      </c>
      <c r="L411" s="11" t="str">
        <f>HYPERLINK("http://slimages.macys.com/is/image/MCY/15179419 ")</f>
        <v xml:space="preserve">http://slimages.macys.com/is/image/MCY/15179419 </v>
      </c>
    </row>
    <row r="412" spans="1:12" ht="48" x14ac:dyDescent="0.25">
      <c r="A412" s="10" t="s">
        <v>1157</v>
      </c>
      <c r="B412" s="7" t="s">
        <v>505</v>
      </c>
      <c r="C412" s="8">
        <v>1</v>
      </c>
      <c r="D412" s="9">
        <v>19</v>
      </c>
      <c r="E412" s="9">
        <v>59</v>
      </c>
      <c r="F412" s="8" t="s">
        <v>506</v>
      </c>
      <c r="G412" s="7" t="s">
        <v>27</v>
      </c>
      <c r="H412" s="10" t="s">
        <v>132</v>
      </c>
      <c r="I412" s="9">
        <v>5.7</v>
      </c>
      <c r="J412" s="7" t="s">
        <v>382</v>
      </c>
      <c r="K412" s="7" t="s">
        <v>61</v>
      </c>
      <c r="L412" s="11" t="str">
        <f>HYPERLINK("http://slimages.macys.com/is/image/MCY/15216135 ")</f>
        <v xml:space="preserve">http://slimages.macys.com/is/image/MCY/15216135 </v>
      </c>
    </row>
    <row r="413" spans="1:12" ht="48" x14ac:dyDescent="0.25">
      <c r="A413" s="10" t="s">
        <v>1156</v>
      </c>
      <c r="B413" s="7" t="s">
        <v>507</v>
      </c>
      <c r="C413" s="8">
        <v>1</v>
      </c>
      <c r="D413" s="9">
        <v>19</v>
      </c>
      <c r="E413" s="9">
        <v>59</v>
      </c>
      <c r="F413" s="8" t="s">
        <v>508</v>
      </c>
      <c r="G413" s="7" t="s">
        <v>49</v>
      </c>
      <c r="H413" s="10"/>
      <c r="I413" s="9">
        <v>5.7</v>
      </c>
      <c r="J413" s="7" t="s">
        <v>475</v>
      </c>
      <c r="K413" s="7" t="s">
        <v>219</v>
      </c>
      <c r="L413" s="11" t="str">
        <f>HYPERLINK("http://slimages.macys.com/is/image/MCY/8038338 ")</f>
        <v xml:space="preserve">http://slimages.macys.com/is/image/MCY/8038338 </v>
      </c>
    </row>
    <row r="414" spans="1:12" ht="48" x14ac:dyDescent="0.25">
      <c r="A414" s="10" t="s">
        <v>585</v>
      </c>
      <c r="B414" s="7" t="s">
        <v>507</v>
      </c>
      <c r="C414" s="8">
        <v>2</v>
      </c>
      <c r="D414" s="9">
        <v>19</v>
      </c>
      <c r="E414" s="9">
        <v>59</v>
      </c>
      <c r="F414" s="8" t="s">
        <v>508</v>
      </c>
      <c r="G414" s="7" t="s">
        <v>49</v>
      </c>
      <c r="H414" s="10"/>
      <c r="I414" s="9">
        <v>5.7</v>
      </c>
      <c r="J414" s="7" t="s">
        <v>475</v>
      </c>
      <c r="K414" s="7" t="s">
        <v>219</v>
      </c>
      <c r="L414" s="11" t="str">
        <f>HYPERLINK("http://slimages.macys.com/is/image/MCY/8038338 ")</f>
        <v xml:space="preserve">http://slimages.macys.com/is/image/MCY/8038338 </v>
      </c>
    </row>
    <row r="415" spans="1:12" ht="48" x14ac:dyDescent="0.25">
      <c r="A415" s="10" t="s">
        <v>1155</v>
      </c>
      <c r="B415" s="7" t="s">
        <v>692</v>
      </c>
      <c r="C415" s="8">
        <v>1</v>
      </c>
      <c r="D415" s="9">
        <v>45.02</v>
      </c>
      <c r="E415" s="9">
        <v>134</v>
      </c>
      <c r="F415" s="8" t="s">
        <v>1154</v>
      </c>
      <c r="G415" s="7" t="s">
        <v>305</v>
      </c>
      <c r="H415" s="10" t="s">
        <v>25</v>
      </c>
      <c r="I415" s="9">
        <v>13.506</v>
      </c>
      <c r="J415" s="7" t="s">
        <v>237</v>
      </c>
      <c r="K415" s="7" t="s">
        <v>46</v>
      </c>
      <c r="L415" s="11" t="str">
        <f>HYPERLINK("http://slimages.macys.com/is/image/MCY/15394550 ")</f>
        <v xml:space="preserve">http://slimages.macys.com/is/image/MCY/15394550 </v>
      </c>
    </row>
    <row r="416" spans="1:12" ht="48" x14ac:dyDescent="0.25">
      <c r="A416" s="10" t="s">
        <v>1153</v>
      </c>
      <c r="B416" s="7" t="s">
        <v>1152</v>
      </c>
      <c r="C416" s="8">
        <v>1</v>
      </c>
      <c r="D416" s="9">
        <v>46</v>
      </c>
      <c r="E416" s="9">
        <v>99.98</v>
      </c>
      <c r="F416" s="8" t="s">
        <v>1151</v>
      </c>
      <c r="G416" s="7" t="s">
        <v>117</v>
      </c>
      <c r="H416" s="10" t="s">
        <v>185</v>
      </c>
      <c r="I416" s="9">
        <v>13.8</v>
      </c>
      <c r="J416" s="7" t="s">
        <v>187</v>
      </c>
      <c r="K416" s="7" t="s">
        <v>219</v>
      </c>
      <c r="L416" s="11" t="str">
        <f>HYPERLINK("http://slimages.macys.com/is/image/MCY/14883970 ")</f>
        <v xml:space="preserve">http://slimages.macys.com/is/image/MCY/14883970 </v>
      </c>
    </row>
    <row r="417" spans="1:12" ht="48" x14ac:dyDescent="0.25">
      <c r="A417" s="10" t="s">
        <v>1150</v>
      </c>
      <c r="B417" s="7" t="s">
        <v>1149</v>
      </c>
      <c r="C417" s="8">
        <v>1</v>
      </c>
      <c r="D417" s="9">
        <v>89.75</v>
      </c>
      <c r="E417" s="9">
        <v>219</v>
      </c>
      <c r="F417" s="8" t="s">
        <v>1148</v>
      </c>
      <c r="G417" s="7" t="s">
        <v>119</v>
      </c>
      <c r="H417" s="10" t="s">
        <v>35</v>
      </c>
      <c r="I417" s="9">
        <v>26.925000000000001</v>
      </c>
      <c r="J417" s="7" t="s">
        <v>43</v>
      </c>
      <c r="K417" s="7" t="s">
        <v>61</v>
      </c>
      <c r="L417" s="11" t="str">
        <f>HYPERLINK("http://slimages.macys.com/is/image/MCY/16193636 ")</f>
        <v xml:space="preserve">http://slimages.macys.com/is/image/MCY/16193636 </v>
      </c>
    </row>
    <row r="418" spans="1:12" ht="48" x14ac:dyDescent="0.25">
      <c r="A418" s="10" t="s">
        <v>1147</v>
      </c>
      <c r="B418" s="7" t="s">
        <v>1146</v>
      </c>
      <c r="C418" s="8">
        <v>1</v>
      </c>
      <c r="D418" s="9">
        <v>73.599999999999994</v>
      </c>
      <c r="E418" s="9">
        <v>199</v>
      </c>
      <c r="F418" s="8" t="s">
        <v>1145</v>
      </c>
      <c r="G418" s="7" t="s">
        <v>114</v>
      </c>
      <c r="H418" s="10" t="s">
        <v>62</v>
      </c>
      <c r="I418" s="9">
        <v>22.08</v>
      </c>
      <c r="J418" s="7" t="s">
        <v>75</v>
      </c>
      <c r="K418" s="7" t="s">
        <v>61</v>
      </c>
      <c r="L418" s="11" t="str">
        <f>HYPERLINK("http://slimages.macys.com/is/image/MCY/13830327 ")</f>
        <v xml:space="preserve">http://slimages.macys.com/is/image/MCY/13830327 </v>
      </c>
    </row>
    <row r="419" spans="1:12" ht="48" x14ac:dyDescent="0.25">
      <c r="A419" s="10" t="s">
        <v>552</v>
      </c>
      <c r="B419" s="7" t="s">
        <v>553</v>
      </c>
      <c r="C419" s="8">
        <v>1</v>
      </c>
      <c r="D419" s="9">
        <v>11.65</v>
      </c>
      <c r="E419" s="9">
        <v>24.98</v>
      </c>
      <c r="F419" s="8" t="s">
        <v>554</v>
      </c>
      <c r="G419" s="7" t="s">
        <v>292</v>
      </c>
      <c r="H419" s="10" t="s">
        <v>78</v>
      </c>
      <c r="I419" s="9">
        <v>3.4950000000000001</v>
      </c>
      <c r="J419" s="7" t="s">
        <v>182</v>
      </c>
      <c r="K419" s="7" t="s">
        <v>378</v>
      </c>
      <c r="L419" s="11" t="str">
        <f>HYPERLINK("http://slimages.macys.com/is/image/MCY/8928952 ")</f>
        <v xml:space="preserve">http://slimages.macys.com/is/image/MCY/8928952 </v>
      </c>
    </row>
    <row r="420" spans="1:12" ht="48" x14ac:dyDescent="0.25">
      <c r="A420" s="10" t="s">
        <v>1144</v>
      </c>
      <c r="B420" s="7" t="s">
        <v>250</v>
      </c>
      <c r="C420" s="8">
        <v>1</v>
      </c>
      <c r="D420" s="9">
        <v>55.6</v>
      </c>
      <c r="E420" s="9">
        <v>139</v>
      </c>
      <c r="F420" s="8" t="s">
        <v>1143</v>
      </c>
      <c r="G420" s="7" t="s">
        <v>211</v>
      </c>
      <c r="H420" s="10" t="s">
        <v>102</v>
      </c>
      <c r="I420" s="9">
        <v>16.68</v>
      </c>
      <c r="J420" s="7" t="s">
        <v>134</v>
      </c>
      <c r="K420" s="7" t="s">
        <v>219</v>
      </c>
      <c r="L420" s="11" t="str">
        <f>HYPERLINK("http://slimages.macys.com/is/image/MCY/15394027 ")</f>
        <v xml:space="preserve">http://slimages.macys.com/is/image/MCY/15394027 </v>
      </c>
    </row>
    <row r="421" spans="1:12" ht="48" x14ac:dyDescent="0.25">
      <c r="A421" s="10" t="s">
        <v>1142</v>
      </c>
      <c r="B421" s="7" t="s">
        <v>367</v>
      </c>
      <c r="C421" s="8">
        <v>1</v>
      </c>
      <c r="D421" s="9">
        <v>40</v>
      </c>
      <c r="E421" s="9">
        <v>89.98</v>
      </c>
      <c r="F421" s="8" t="s">
        <v>368</v>
      </c>
      <c r="G421" s="7" t="s">
        <v>27</v>
      </c>
      <c r="H421" s="10" t="s">
        <v>30</v>
      </c>
      <c r="I421" s="9">
        <v>12</v>
      </c>
      <c r="J421" s="7" t="s">
        <v>237</v>
      </c>
      <c r="K421" s="7" t="s">
        <v>46</v>
      </c>
      <c r="L421" s="11" t="str">
        <f>HYPERLINK("http://slimages.macys.com/is/image/MCY/11389438 ")</f>
        <v xml:space="preserve">http://slimages.macys.com/is/image/MCY/11389438 </v>
      </c>
    </row>
    <row r="422" spans="1:12" ht="48" x14ac:dyDescent="0.25">
      <c r="A422" s="10" t="s">
        <v>1141</v>
      </c>
      <c r="B422" s="7" t="s">
        <v>367</v>
      </c>
      <c r="C422" s="8">
        <v>2</v>
      </c>
      <c r="D422" s="9">
        <v>40</v>
      </c>
      <c r="E422" s="9">
        <v>89.98</v>
      </c>
      <c r="F422" s="8" t="s">
        <v>368</v>
      </c>
      <c r="G422" s="7" t="s">
        <v>27</v>
      </c>
      <c r="H422" s="10" t="s">
        <v>31</v>
      </c>
      <c r="I422" s="9">
        <v>12</v>
      </c>
      <c r="J422" s="7" t="s">
        <v>237</v>
      </c>
      <c r="K422" s="7" t="s">
        <v>46</v>
      </c>
      <c r="L422" s="11" t="str">
        <f>HYPERLINK("http://slimages.macys.com/is/image/MCY/11389438 ")</f>
        <v xml:space="preserve">http://slimages.macys.com/is/image/MCY/11389438 </v>
      </c>
    </row>
    <row r="423" spans="1:12" ht="48" x14ac:dyDescent="0.25">
      <c r="A423" s="10" t="s">
        <v>1140</v>
      </c>
      <c r="B423" s="7" t="s">
        <v>367</v>
      </c>
      <c r="C423" s="8">
        <v>2</v>
      </c>
      <c r="D423" s="9">
        <v>40</v>
      </c>
      <c r="E423" s="9">
        <v>89.98</v>
      </c>
      <c r="F423" s="8" t="s">
        <v>368</v>
      </c>
      <c r="G423" s="7" t="s">
        <v>27</v>
      </c>
      <c r="H423" s="10" t="s">
        <v>28</v>
      </c>
      <c r="I423" s="9">
        <v>12</v>
      </c>
      <c r="J423" s="7" t="s">
        <v>237</v>
      </c>
      <c r="K423" s="7" t="s">
        <v>46</v>
      </c>
      <c r="L423" s="11" t="str">
        <f>HYPERLINK("http://slimages.macys.com/is/image/MCY/11389438 ")</f>
        <v xml:space="preserve">http://slimages.macys.com/is/image/MCY/11389438 </v>
      </c>
    </row>
    <row r="424" spans="1:12" ht="48" x14ac:dyDescent="0.25">
      <c r="A424" s="10" t="s">
        <v>1139</v>
      </c>
      <c r="B424" s="7" t="s">
        <v>1136</v>
      </c>
      <c r="C424" s="8">
        <v>1</v>
      </c>
      <c r="D424" s="9">
        <v>29.4</v>
      </c>
      <c r="E424" s="9">
        <v>98</v>
      </c>
      <c r="F424" s="8" t="s">
        <v>1135</v>
      </c>
      <c r="G424" s="7" t="s">
        <v>147</v>
      </c>
      <c r="H424" s="10" t="s">
        <v>30</v>
      </c>
      <c r="I424" s="9">
        <v>8.82</v>
      </c>
      <c r="J424" s="7" t="s">
        <v>79</v>
      </c>
      <c r="K424" s="7" t="s">
        <v>219</v>
      </c>
      <c r="L424" s="11" t="str">
        <f>HYPERLINK("http://slimages.macys.com/is/image/MCY/14876962 ")</f>
        <v xml:space="preserve">http://slimages.macys.com/is/image/MCY/14876962 </v>
      </c>
    </row>
    <row r="425" spans="1:12" ht="48" x14ac:dyDescent="0.25">
      <c r="A425" s="10" t="s">
        <v>1138</v>
      </c>
      <c r="B425" s="7" t="s">
        <v>1136</v>
      </c>
      <c r="C425" s="8">
        <v>1</v>
      </c>
      <c r="D425" s="9">
        <v>29.4</v>
      </c>
      <c r="E425" s="9">
        <v>98</v>
      </c>
      <c r="F425" s="8" t="s">
        <v>1135</v>
      </c>
      <c r="G425" s="7" t="s">
        <v>147</v>
      </c>
      <c r="H425" s="10" t="s">
        <v>53</v>
      </c>
      <c r="I425" s="9">
        <v>8.82</v>
      </c>
      <c r="J425" s="7" t="s">
        <v>79</v>
      </c>
      <c r="K425" s="7" t="s">
        <v>219</v>
      </c>
      <c r="L425" s="11" t="str">
        <f>HYPERLINK("http://slimages.macys.com/is/image/MCY/14876962 ")</f>
        <v xml:space="preserve">http://slimages.macys.com/is/image/MCY/14876962 </v>
      </c>
    </row>
    <row r="426" spans="1:12" ht="48" x14ac:dyDescent="0.25">
      <c r="A426" s="10" t="s">
        <v>1137</v>
      </c>
      <c r="B426" s="7" t="s">
        <v>1136</v>
      </c>
      <c r="C426" s="8">
        <v>2</v>
      </c>
      <c r="D426" s="9">
        <v>29.4</v>
      </c>
      <c r="E426" s="9">
        <v>98</v>
      </c>
      <c r="F426" s="8" t="s">
        <v>1135</v>
      </c>
      <c r="G426" s="7" t="s">
        <v>147</v>
      </c>
      <c r="H426" s="10" t="s">
        <v>57</v>
      </c>
      <c r="I426" s="9">
        <v>8.82</v>
      </c>
      <c r="J426" s="7" t="s">
        <v>79</v>
      </c>
      <c r="K426" s="7" t="s">
        <v>219</v>
      </c>
      <c r="L426" s="11" t="str">
        <f>HYPERLINK("http://slimages.macys.com/is/image/MCY/14876962 ")</f>
        <v xml:space="preserve">http://slimages.macys.com/is/image/MCY/14876962 </v>
      </c>
    </row>
    <row r="427" spans="1:12" ht="48" x14ac:dyDescent="0.25">
      <c r="A427" s="10" t="s">
        <v>1134</v>
      </c>
      <c r="B427" s="7" t="s">
        <v>1133</v>
      </c>
      <c r="C427" s="8">
        <v>1</v>
      </c>
      <c r="D427" s="9">
        <v>40</v>
      </c>
      <c r="E427" s="9">
        <v>89.98</v>
      </c>
      <c r="F427" s="8" t="s">
        <v>1132</v>
      </c>
      <c r="G427" s="7" t="s">
        <v>282</v>
      </c>
      <c r="H427" s="10" t="s">
        <v>40</v>
      </c>
      <c r="I427" s="9">
        <v>12</v>
      </c>
      <c r="J427" s="7" t="s">
        <v>134</v>
      </c>
      <c r="K427" s="7" t="s">
        <v>219</v>
      </c>
      <c r="L427" s="11" t="str">
        <f>HYPERLINK("http://slimages.macys.com/is/image/MCY/15393749 ")</f>
        <v xml:space="preserve">http://slimages.macys.com/is/image/MCY/15393749 </v>
      </c>
    </row>
    <row r="428" spans="1:12" ht="60" x14ac:dyDescent="0.25">
      <c r="A428" s="10" t="s">
        <v>1131</v>
      </c>
      <c r="B428" s="7" t="s">
        <v>230</v>
      </c>
      <c r="C428" s="8">
        <v>1</v>
      </c>
      <c r="D428" s="9">
        <v>59.6</v>
      </c>
      <c r="E428" s="9">
        <v>149</v>
      </c>
      <c r="F428" s="8" t="s">
        <v>231</v>
      </c>
      <c r="G428" s="7" t="s">
        <v>88</v>
      </c>
      <c r="H428" s="10" t="s">
        <v>57</v>
      </c>
      <c r="I428" s="9">
        <v>17.88</v>
      </c>
      <c r="J428" s="7" t="s">
        <v>183</v>
      </c>
      <c r="K428" s="7" t="s">
        <v>232</v>
      </c>
      <c r="L428" s="11" t="str">
        <f>HYPERLINK("http://slimages.macys.com/is/image/MCY/15633858 ")</f>
        <v xml:space="preserve">http://slimages.macys.com/is/image/MCY/15633858 </v>
      </c>
    </row>
    <row r="429" spans="1:12" ht="48" x14ac:dyDescent="0.25">
      <c r="A429" s="10" t="s">
        <v>1130</v>
      </c>
      <c r="B429" s="7" t="s">
        <v>706</v>
      </c>
      <c r="C429" s="8">
        <v>1</v>
      </c>
      <c r="D429" s="9">
        <v>51.6</v>
      </c>
      <c r="E429" s="9">
        <v>129</v>
      </c>
      <c r="F429" s="8" t="s">
        <v>1129</v>
      </c>
      <c r="G429" s="7" t="s">
        <v>88</v>
      </c>
      <c r="H429" s="10" t="s">
        <v>53</v>
      </c>
      <c r="I429" s="9">
        <v>15.48</v>
      </c>
      <c r="J429" s="7" t="s">
        <v>249</v>
      </c>
      <c r="K429" s="7" t="s">
        <v>1128</v>
      </c>
      <c r="L429" s="11" t="str">
        <f>HYPERLINK("http://slimages.macys.com/is/image/MCY/15830760 ")</f>
        <v xml:space="preserve">http://slimages.macys.com/is/image/MCY/15830760 </v>
      </c>
    </row>
    <row r="430" spans="1:12" ht="48" x14ac:dyDescent="0.25">
      <c r="A430" s="10" t="s">
        <v>701</v>
      </c>
      <c r="B430" s="7" t="s">
        <v>699</v>
      </c>
      <c r="C430" s="8">
        <v>1</v>
      </c>
      <c r="D430" s="9">
        <v>53.6</v>
      </c>
      <c r="E430" s="9">
        <v>134</v>
      </c>
      <c r="F430" s="8" t="s">
        <v>698</v>
      </c>
      <c r="G430" s="7" t="s">
        <v>37</v>
      </c>
      <c r="H430" s="10" t="s">
        <v>28</v>
      </c>
      <c r="I430" s="9">
        <v>16.079999999999998</v>
      </c>
      <c r="J430" s="7" t="s">
        <v>183</v>
      </c>
      <c r="K430" s="7" t="s">
        <v>697</v>
      </c>
      <c r="L430" s="11" t="str">
        <f>HYPERLINK("http://slimages.macys.com/is/image/MCY/15633609 ")</f>
        <v xml:space="preserve">http://slimages.macys.com/is/image/MCY/15633609 </v>
      </c>
    </row>
    <row r="431" spans="1:12" ht="48" x14ac:dyDescent="0.25">
      <c r="A431" s="10" t="s">
        <v>700</v>
      </c>
      <c r="B431" s="7" t="s">
        <v>699</v>
      </c>
      <c r="C431" s="8">
        <v>1</v>
      </c>
      <c r="D431" s="9">
        <v>53.6</v>
      </c>
      <c r="E431" s="9">
        <v>134</v>
      </c>
      <c r="F431" s="8" t="s">
        <v>698</v>
      </c>
      <c r="G431" s="7" t="s">
        <v>37</v>
      </c>
      <c r="H431" s="10" t="s">
        <v>35</v>
      </c>
      <c r="I431" s="9">
        <v>16.079999999999998</v>
      </c>
      <c r="J431" s="7" t="s">
        <v>183</v>
      </c>
      <c r="K431" s="7" t="s">
        <v>697</v>
      </c>
      <c r="L431" s="11" t="str">
        <f>HYPERLINK("http://slimages.macys.com/is/image/MCY/15633609 ")</f>
        <v xml:space="preserve">http://slimages.macys.com/is/image/MCY/15633609 </v>
      </c>
    </row>
    <row r="432" spans="1:12" ht="48" x14ac:dyDescent="0.25">
      <c r="A432" s="10" t="s">
        <v>1127</v>
      </c>
      <c r="B432" s="7" t="s">
        <v>699</v>
      </c>
      <c r="C432" s="8">
        <v>1</v>
      </c>
      <c r="D432" s="9">
        <v>53.6</v>
      </c>
      <c r="E432" s="9">
        <v>134</v>
      </c>
      <c r="F432" s="8" t="s">
        <v>698</v>
      </c>
      <c r="G432" s="7" t="s">
        <v>37</v>
      </c>
      <c r="H432" s="10" t="s">
        <v>25</v>
      </c>
      <c r="I432" s="9">
        <v>16.079999999999998</v>
      </c>
      <c r="J432" s="7" t="s">
        <v>183</v>
      </c>
      <c r="K432" s="7" t="s">
        <v>697</v>
      </c>
      <c r="L432" s="11" t="str">
        <f>HYPERLINK("http://slimages.macys.com/is/image/MCY/15633609 ")</f>
        <v xml:space="preserve">http://slimages.macys.com/is/image/MCY/15633609 </v>
      </c>
    </row>
    <row r="433" spans="1:12" ht="48" x14ac:dyDescent="0.25">
      <c r="A433" s="10" t="s">
        <v>1126</v>
      </c>
      <c r="B433" s="7" t="s">
        <v>699</v>
      </c>
      <c r="C433" s="8">
        <v>1</v>
      </c>
      <c r="D433" s="9">
        <v>53.6</v>
      </c>
      <c r="E433" s="9">
        <v>134</v>
      </c>
      <c r="F433" s="8" t="s">
        <v>698</v>
      </c>
      <c r="G433" s="7" t="s">
        <v>37</v>
      </c>
      <c r="H433" s="10" t="s">
        <v>62</v>
      </c>
      <c r="I433" s="9">
        <v>16.079999999999998</v>
      </c>
      <c r="J433" s="7" t="s">
        <v>183</v>
      </c>
      <c r="K433" s="7" t="s">
        <v>697</v>
      </c>
      <c r="L433" s="11" t="str">
        <f>HYPERLINK("http://slimages.macys.com/is/image/MCY/15633609 ")</f>
        <v xml:space="preserve">http://slimages.macys.com/is/image/MCY/15633609 </v>
      </c>
    </row>
    <row r="434" spans="1:12" ht="48" x14ac:dyDescent="0.25">
      <c r="A434" s="10" t="s">
        <v>1125</v>
      </c>
      <c r="B434" s="7" t="s">
        <v>699</v>
      </c>
      <c r="C434" s="8">
        <v>2</v>
      </c>
      <c r="D434" s="9">
        <v>53.6</v>
      </c>
      <c r="E434" s="9">
        <v>134</v>
      </c>
      <c r="F434" s="8" t="s">
        <v>698</v>
      </c>
      <c r="G434" s="7" t="s">
        <v>37</v>
      </c>
      <c r="H434" s="10" t="s">
        <v>30</v>
      </c>
      <c r="I434" s="9">
        <v>16.079999999999998</v>
      </c>
      <c r="J434" s="7" t="s">
        <v>183</v>
      </c>
      <c r="K434" s="7" t="s">
        <v>697</v>
      </c>
      <c r="L434" s="11" t="str">
        <f>HYPERLINK("http://slimages.macys.com/is/image/MCY/15633609 ")</f>
        <v xml:space="preserve">http://slimages.macys.com/is/image/MCY/15633609 </v>
      </c>
    </row>
    <row r="435" spans="1:12" ht="84" x14ac:dyDescent="0.25">
      <c r="A435" s="10" t="s">
        <v>1124</v>
      </c>
      <c r="B435" s="7" t="s">
        <v>1123</v>
      </c>
      <c r="C435" s="8">
        <v>1</v>
      </c>
      <c r="D435" s="9">
        <v>57.6</v>
      </c>
      <c r="E435" s="9">
        <v>144</v>
      </c>
      <c r="F435" s="8" t="s">
        <v>1122</v>
      </c>
      <c r="G435" s="7" t="s">
        <v>88</v>
      </c>
      <c r="H435" s="10" t="s">
        <v>35</v>
      </c>
      <c r="I435" s="9">
        <v>17.28</v>
      </c>
      <c r="J435" s="7" t="s">
        <v>183</v>
      </c>
      <c r="K435" s="7" t="s">
        <v>1121</v>
      </c>
      <c r="L435" s="11" t="str">
        <f>HYPERLINK("http://slimages.macys.com/is/image/MCY/15633331 ")</f>
        <v xml:space="preserve">http://slimages.macys.com/is/image/MCY/15633331 </v>
      </c>
    </row>
    <row r="436" spans="1:12" ht="48" x14ac:dyDescent="0.25">
      <c r="A436" s="10" t="s">
        <v>1120</v>
      </c>
      <c r="B436" s="7" t="s">
        <v>1119</v>
      </c>
      <c r="C436" s="8">
        <v>1</v>
      </c>
      <c r="D436" s="9">
        <v>18</v>
      </c>
      <c r="E436" s="9">
        <v>45.99</v>
      </c>
      <c r="F436" s="8" t="s">
        <v>1118</v>
      </c>
      <c r="G436" s="7" t="s">
        <v>101</v>
      </c>
      <c r="H436" s="10" t="s">
        <v>78</v>
      </c>
      <c r="I436" s="9">
        <v>5.4</v>
      </c>
      <c r="J436" s="7" t="s">
        <v>496</v>
      </c>
      <c r="K436" s="7" t="s">
        <v>219</v>
      </c>
      <c r="L436" s="11" t="str">
        <f>HYPERLINK("http://slimages.macys.com/is/image/MCY/14382905 ")</f>
        <v xml:space="preserve">http://slimages.macys.com/is/image/MCY/14382905 </v>
      </c>
    </row>
    <row r="437" spans="1:12" ht="48" x14ac:dyDescent="0.25">
      <c r="A437" s="10" t="s">
        <v>1117</v>
      </c>
      <c r="B437" s="7" t="s">
        <v>669</v>
      </c>
      <c r="C437" s="8">
        <v>1</v>
      </c>
      <c r="D437" s="9">
        <v>47.6</v>
      </c>
      <c r="E437" s="9">
        <v>119</v>
      </c>
      <c r="F437" s="8" t="s">
        <v>668</v>
      </c>
      <c r="G437" s="7" t="s">
        <v>88</v>
      </c>
      <c r="H437" s="10" t="s">
        <v>30</v>
      </c>
      <c r="I437" s="9">
        <v>14.28</v>
      </c>
      <c r="J437" s="7" t="s">
        <v>249</v>
      </c>
      <c r="K437" s="7" t="s">
        <v>219</v>
      </c>
      <c r="L437" s="11" t="str">
        <f>HYPERLINK("http://slimages.macys.com/is/image/MCY/15830756 ")</f>
        <v xml:space="preserve">http://slimages.macys.com/is/image/MCY/15830756 </v>
      </c>
    </row>
    <row r="438" spans="1:12" ht="48" x14ac:dyDescent="0.25">
      <c r="A438" s="10" t="s">
        <v>1116</v>
      </c>
      <c r="B438" s="7" t="s">
        <v>669</v>
      </c>
      <c r="C438" s="8">
        <v>1</v>
      </c>
      <c r="D438" s="9">
        <v>47.6</v>
      </c>
      <c r="E438" s="9">
        <v>119</v>
      </c>
      <c r="F438" s="8" t="s">
        <v>1115</v>
      </c>
      <c r="G438" s="7" t="s">
        <v>27</v>
      </c>
      <c r="H438" s="10" t="s">
        <v>53</v>
      </c>
      <c r="I438" s="9">
        <v>14.28</v>
      </c>
      <c r="J438" s="7" t="s">
        <v>249</v>
      </c>
      <c r="K438" s="7" t="s">
        <v>219</v>
      </c>
      <c r="L438" s="11" t="str">
        <f>HYPERLINK("http://slimages.macys.com/is/image/MCY/15830806 ")</f>
        <v xml:space="preserve">http://slimages.macys.com/is/image/MCY/15830806 </v>
      </c>
    </row>
    <row r="439" spans="1:12" ht="60" x14ac:dyDescent="0.25">
      <c r="A439" s="10" t="s">
        <v>1114</v>
      </c>
      <c r="B439" s="7" t="s">
        <v>1113</v>
      </c>
      <c r="C439" s="8">
        <v>1</v>
      </c>
      <c r="D439" s="9">
        <v>28</v>
      </c>
      <c r="E439" s="9">
        <v>79</v>
      </c>
      <c r="F439" s="8" t="s">
        <v>1112</v>
      </c>
      <c r="G439" s="7" t="s">
        <v>27</v>
      </c>
      <c r="H439" s="10" t="s">
        <v>51</v>
      </c>
      <c r="I439" s="9">
        <v>8.4</v>
      </c>
      <c r="J439" s="7" t="s">
        <v>134</v>
      </c>
      <c r="K439" s="7" t="s">
        <v>36</v>
      </c>
      <c r="L439" s="11" t="str">
        <f>HYPERLINK("http://slimages.macys.com/is/image/MCY/10424295 ")</f>
        <v xml:space="preserve">http://slimages.macys.com/is/image/MCY/10424295 </v>
      </c>
    </row>
    <row r="440" spans="1:12" ht="48" x14ac:dyDescent="0.25">
      <c r="A440" s="10" t="s">
        <v>1111</v>
      </c>
      <c r="B440" s="7" t="s">
        <v>1109</v>
      </c>
      <c r="C440" s="8">
        <v>1</v>
      </c>
      <c r="D440" s="9">
        <v>43.6</v>
      </c>
      <c r="E440" s="9">
        <v>109</v>
      </c>
      <c r="F440" s="8" t="s">
        <v>1108</v>
      </c>
      <c r="G440" s="7" t="s">
        <v>326</v>
      </c>
      <c r="H440" s="10" t="s">
        <v>30</v>
      </c>
      <c r="I440" s="9">
        <v>13.08</v>
      </c>
      <c r="J440" s="7" t="s">
        <v>249</v>
      </c>
      <c r="K440" s="7" t="s">
        <v>219</v>
      </c>
      <c r="L440" s="11" t="str">
        <f>HYPERLINK("http://slimages.macys.com/is/image/MCY/15142998 ")</f>
        <v xml:space="preserve">http://slimages.macys.com/is/image/MCY/15142998 </v>
      </c>
    </row>
    <row r="441" spans="1:12" ht="48" x14ac:dyDescent="0.25">
      <c r="A441" s="10" t="s">
        <v>1110</v>
      </c>
      <c r="B441" s="7" t="s">
        <v>1109</v>
      </c>
      <c r="C441" s="8">
        <v>1</v>
      </c>
      <c r="D441" s="9">
        <v>43.6</v>
      </c>
      <c r="E441" s="9">
        <v>109</v>
      </c>
      <c r="F441" s="8" t="s">
        <v>1108</v>
      </c>
      <c r="G441" s="7" t="s">
        <v>326</v>
      </c>
      <c r="H441" s="10" t="s">
        <v>35</v>
      </c>
      <c r="I441" s="9">
        <v>13.08</v>
      </c>
      <c r="J441" s="7" t="s">
        <v>249</v>
      </c>
      <c r="K441" s="7" t="s">
        <v>219</v>
      </c>
      <c r="L441" s="11" t="str">
        <f>HYPERLINK("http://slimages.macys.com/is/image/MCY/15142998 ")</f>
        <v xml:space="preserve">http://slimages.macys.com/is/image/MCY/15142998 </v>
      </c>
    </row>
    <row r="442" spans="1:12" ht="48" x14ac:dyDescent="0.25">
      <c r="A442" s="10" t="s">
        <v>1107</v>
      </c>
      <c r="B442" s="7" t="s">
        <v>343</v>
      </c>
      <c r="C442" s="8">
        <v>1</v>
      </c>
      <c r="D442" s="9">
        <v>43.6</v>
      </c>
      <c r="E442" s="9">
        <v>109</v>
      </c>
      <c r="F442" s="8" t="s">
        <v>344</v>
      </c>
      <c r="G442" s="7" t="s">
        <v>211</v>
      </c>
      <c r="H442" s="10" t="s">
        <v>35</v>
      </c>
      <c r="I442" s="9">
        <v>13.08</v>
      </c>
      <c r="J442" s="7" t="s">
        <v>183</v>
      </c>
      <c r="K442" s="7" t="s">
        <v>219</v>
      </c>
      <c r="L442" s="11" t="str">
        <f>HYPERLINK("http://slimages.macys.com/is/image/MCY/15633650 ")</f>
        <v xml:space="preserve">http://slimages.macys.com/is/image/MCY/15633650 </v>
      </c>
    </row>
    <row r="443" spans="1:12" ht="48" x14ac:dyDescent="0.25">
      <c r="A443" s="10" t="s">
        <v>1106</v>
      </c>
      <c r="B443" s="7" t="s">
        <v>1105</v>
      </c>
      <c r="C443" s="8">
        <v>1</v>
      </c>
      <c r="D443" s="9">
        <v>47.6</v>
      </c>
      <c r="E443" s="9">
        <v>119</v>
      </c>
      <c r="F443" s="8" t="s">
        <v>1104</v>
      </c>
      <c r="G443" s="7" t="s">
        <v>27</v>
      </c>
      <c r="H443" s="10" t="s">
        <v>30</v>
      </c>
      <c r="I443" s="9">
        <v>14.28</v>
      </c>
      <c r="J443" s="7" t="s">
        <v>249</v>
      </c>
      <c r="K443" s="7" t="s">
        <v>219</v>
      </c>
      <c r="L443" s="11" t="str">
        <f>HYPERLINK("http://slimages.macys.com/is/image/MCY/15296934 ")</f>
        <v xml:space="preserve">http://slimages.macys.com/is/image/MCY/15296934 </v>
      </c>
    </row>
    <row r="444" spans="1:12" ht="48" x14ac:dyDescent="0.25">
      <c r="A444" s="10" t="s">
        <v>1103</v>
      </c>
      <c r="B444" s="7" t="s">
        <v>1102</v>
      </c>
      <c r="C444" s="8">
        <v>1</v>
      </c>
      <c r="D444" s="9">
        <v>88.4</v>
      </c>
      <c r="E444" s="9">
        <v>239</v>
      </c>
      <c r="F444" s="8" t="s">
        <v>1101</v>
      </c>
      <c r="G444" s="7" t="s">
        <v>88</v>
      </c>
      <c r="H444" s="10" t="s">
        <v>31</v>
      </c>
      <c r="I444" s="9">
        <v>26.52</v>
      </c>
      <c r="J444" s="7" t="s">
        <v>75</v>
      </c>
      <c r="K444" s="7" t="s">
        <v>1100</v>
      </c>
      <c r="L444" s="11" t="str">
        <f>HYPERLINK("http://slimages.macys.com/is/image/MCY/13831842 ")</f>
        <v xml:space="preserve">http://slimages.macys.com/is/image/MCY/13831842 </v>
      </c>
    </row>
    <row r="445" spans="1:12" ht="48" x14ac:dyDescent="0.25">
      <c r="A445" s="10" t="s">
        <v>1099</v>
      </c>
      <c r="B445" s="7" t="s">
        <v>1098</v>
      </c>
      <c r="C445" s="8">
        <v>1</v>
      </c>
      <c r="D445" s="9">
        <v>38.700000000000003</v>
      </c>
      <c r="E445" s="9">
        <v>129</v>
      </c>
      <c r="F445" s="8" t="s">
        <v>1097</v>
      </c>
      <c r="G445" s="7" t="s">
        <v>24</v>
      </c>
      <c r="H445" s="10" t="s">
        <v>62</v>
      </c>
      <c r="I445" s="9">
        <v>11.61</v>
      </c>
      <c r="J445" s="7" t="s">
        <v>249</v>
      </c>
      <c r="K445" s="7" t="s">
        <v>359</v>
      </c>
      <c r="L445" s="11" t="str">
        <f>HYPERLINK("http://slimages.macys.com/is/image/MCY/14915090 ")</f>
        <v xml:space="preserve">http://slimages.macys.com/is/image/MCY/14915090 </v>
      </c>
    </row>
    <row r="446" spans="1:12" ht="48" x14ac:dyDescent="0.25">
      <c r="A446" s="10" t="s">
        <v>1096</v>
      </c>
      <c r="B446" s="7" t="s">
        <v>467</v>
      </c>
      <c r="C446" s="8">
        <v>1</v>
      </c>
      <c r="D446" s="9">
        <v>26.5</v>
      </c>
      <c r="E446" s="9">
        <v>69</v>
      </c>
      <c r="F446" s="8" t="s">
        <v>468</v>
      </c>
      <c r="G446" s="7" t="s">
        <v>27</v>
      </c>
      <c r="H446" s="10" t="s">
        <v>38</v>
      </c>
      <c r="I446" s="9">
        <v>7.95</v>
      </c>
      <c r="J446" s="7" t="s">
        <v>134</v>
      </c>
      <c r="K446" s="7" t="s">
        <v>61</v>
      </c>
      <c r="L446" s="11" t="str">
        <f>HYPERLINK("http://slimages.macys.com/is/image/MCY/14746761 ")</f>
        <v xml:space="preserve">http://slimages.macys.com/is/image/MCY/14746761 </v>
      </c>
    </row>
    <row r="447" spans="1:12" ht="48" x14ac:dyDescent="0.25">
      <c r="A447" s="10" t="s">
        <v>466</v>
      </c>
      <c r="B447" s="7" t="s">
        <v>467</v>
      </c>
      <c r="C447" s="8">
        <v>1</v>
      </c>
      <c r="D447" s="9">
        <v>26.5</v>
      </c>
      <c r="E447" s="9">
        <v>69</v>
      </c>
      <c r="F447" s="8" t="s">
        <v>468</v>
      </c>
      <c r="G447" s="7" t="s">
        <v>27</v>
      </c>
      <c r="H447" s="10" t="s">
        <v>68</v>
      </c>
      <c r="I447" s="9">
        <v>7.95</v>
      </c>
      <c r="J447" s="7" t="s">
        <v>134</v>
      </c>
      <c r="K447" s="7" t="s">
        <v>61</v>
      </c>
      <c r="L447" s="11" t="str">
        <f>HYPERLINK("http://slimages.macys.com/is/image/MCY/14746761 ")</f>
        <v xml:space="preserve">http://slimages.macys.com/is/image/MCY/14746761 </v>
      </c>
    </row>
    <row r="448" spans="1:12" ht="72" x14ac:dyDescent="0.25">
      <c r="A448" s="10" t="s">
        <v>1095</v>
      </c>
      <c r="B448" s="7" t="s">
        <v>1094</v>
      </c>
      <c r="C448" s="8">
        <v>1</v>
      </c>
      <c r="D448" s="9">
        <v>79.75</v>
      </c>
      <c r="E448" s="9">
        <v>199</v>
      </c>
      <c r="F448" s="8" t="s">
        <v>1093</v>
      </c>
      <c r="G448" s="7" t="s">
        <v>45</v>
      </c>
      <c r="H448" s="10" t="s">
        <v>28</v>
      </c>
      <c r="I448" s="9">
        <v>23.925000000000001</v>
      </c>
      <c r="J448" s="7" t="s">
        <v>43</v>
      </c>
      <c r="K448" s="7" t="s">
        <v>1092</v>
      </c>
      <c r="L448" s="11" t="str">
        <f>HYPERLINK("http://slimages.macys.com/is/image/MCY/14910569 ")</f>
        <v xml:space="preserve">http://slimages.macys.com/is/image/MCY/14910569 </v>
      </c>
    </row>
    <row r="449" spans="1:12" ht="48" x14ac:dyDescent="0.25">
      <c r="A449" s="10" t="s">
        <v>651</v>
      </c>
      <c r="B449" s="7" t="s">
        <v>650</v>
      </c>
      <c r="C449" s="8">
        <v>2</v>
      </c>
      <c r="D449" s="9">
        <v>40</v>
      </c>
      <c r="E449" s="9">
        <v>89.98</v>
      </c>
      <c r="F449" s="8" t="s">
        <v>649</v>
      </c>
      <c r="G449" s="7" t="s">
        <v>377</v>
      </c>
      <c r="H449" s="10" t="s">
        <v>31</v>
      </c>
      <c r="I449" s="9">
        <v>12</v>
      </c>
      <c r="J449" s="7" t="s">
        <v>237</v>
      </c>
      <c r="K449" s="7" t="s">
        <v>648</v>
      </c>
      <c r="L449" s="11" t="str">
        <f>HYPERLINK("http://slimages.macys.com/is/image/MCY/13043935 ")</f>
        <v xml:space="preserve">http://slimages.macys.com/is/image/MCY/13043935 </v>
      </c>
    </row>
    <row r="450" spans="1:12" ht="48" x14ac:dyDescent="0.25">
      <c r="A450" s="10" t="s">
        <v>1091</v>
      </c>
      <c r="B450" s="7" t="s">
        <v>650</v>
      </c>
      <c r="C450" s="8">
        <v>1</v>
      </c>
      <c r="D450" s="9">
        <v>40</v>
      </c>
      <c r="E450" s="9">
        <v>89.98</v>
      </c>
      <c r="F450" s="8" t="s">
        <v>649</v>
      </c>
      <c r="G450" s="7" t="s">
        <v>377</v>
      </c>
      <c r="H450" s="10" t="s">
        <v>53</v>
      </c>
      <c r="I450" s="9">
        <v>12</v>
      </c>
      <c r="J450" s="7" t="s">
        <v>237</v>
      </c>
      <c r="K450" s="7" t="s">
        <v>648</v>
      </c>
      <c r="L450" s="11" t="str">
        <f>HYPERLINK("http://slimages.macys.com/is/image/MCY/13043935 ")</f>
        <v xml:space="preserve">http://slimages.macys.com/is/image/MCY/13043935 </v>
      </c>
    </row>
    <row r="451" spans="1:12" ht="48" x14ac:dyDescent="0.25">
      <c r="A451" s="10" t="s">
        <v>1090</v>
      </c>
      <c r="B451" s="7" t="s">
        <v>1089</v>
      </c>
      <c r="C451" s="8">
        <v>1</v>
      </c>
      <c r="D451" s="9">
        <v>40</v>
      </c>
      <c r="E451" s="9">
        <v>89.98</v>
      </c>
      <c r="F451" s="8" t="s">
        <v>1088</v>
      </c>
      <c r="G451" s="7" t="s">
        <v>377</v>
      </c>
      <c r="H451" s="10" t="s">
        <v>38</v>
      </c>
      <c r="I451" s="9">
        <v>12</v>
      </c>
      <c r="J451" s="7" t="s">
        <v>134</v>
      </c>
      <c r="K451" s="7" t="s">
        <v>1087</v>
      </c>
      <c r="L451" s="11" t="str">
        <f>HYPERLINK("http://slimages.macys.com/is/image/MCY/13043935 ")</f>
        <v xml:space="preserve">http://slimages.macys.com/is/image/MCY/13043935 </v>
      </c>
    </row>
    <row r="452" spans="1:12" ht="84" x14ac:dyDescent="0.25">
      <c r="A452" s="10" t="s">
        <v>1086</v>
      </c>
      <c r="B452" s="7" t="s">
        <v>1085</v>
      </c>
      <c r="C452" s="8">
        <v>1</v>
      </c>
      <c r="D452" s="9">
        <v>46</v>
      </c>
      <c r="E452" s="9">
        <v>99.98</v>
      </c>
      <c r="F452" s="8" t="s">
        <v>1084</v>
      </c>
      <c r="G452" s="7" t="s">
        <v>27</v>
      </c>
      <c r="H452" s="10" t="s">
        <v>236</v>
      </c>
      <c r="I452" s="9">
        <v>13.8</v>
      </c>
      <c r="J452" s="7" t="s">
        <v>187</v>
      </c>
      <c r="K452" s="7" t="s">
        <v>1083</v>
      </c>
      <c r="L452" s="11" t="str">
        <f>HYPERLINK("http://slimages.macys.com/is/image/MCY/13746201 ")</f>
        <v xml:space="preserve">http://slimages.macys.com/is/image/MCY/13746201 </v>
      </c>
    </row>
    <row r="453" spans="1:12" ht="72" x14ac:dyDescent="0.25">
      <c r="A453" s="10" t="s">
        <v>1082</v>
      </c>
      <c r="B453" s="7" t="s">
        <v>639</v>
      </c>
      <c r="C453" s="8">
        <v>1</v>
      </c>
      <c r="D453" s="9">
        <v>40</v>
      </c>
      <c r="E453" s="9">
        <v>89.98</v>
      </c>
      <c r="F453" s="8" t="s">
        <v>638</v>
      </c>
      <c r="G453" s="7" t="s">
        <v>27</v>
      </c>
      <c r="H453" s="10" t="s">
        <v>31</v>
      </c>
      <c r="I453" s="9">
        <v>12</v>
      </c>
      <c r="J453" s="7" t="s">
        <v>237</v>
      </c>
      <c r="K453" s="7" t="s">
        <v>637</v>
      </c>
      <c r="L453" s="11" t="str">
        <f>HYPERLINK("http://slimages.macys.com/is/image/MCY/13746185 ")</f>
        <v xml:space="preserve">http://slimages.macys.com/is/image/MCY/13746185 </v>
      </c>
    </row>
    <row r="454" spans="1:12" ht="72" x14ac:dyDescent="0.25">
      <c r="A454" s="10" t="s">
        <v>646</v>
      </c>
      <c r="B454" s="7" t="s">
        <v>639</v>
      </c>
      <c r="C454" s="8">
        <v>1</v>
      </c>
      <c r="D454" s="9">
        <v>40</v>
      </c>
      <c r="E454" s="9">
        <v>89.98</v>
      </c>
      <c r="F454" s="8" t="s">
        <v>638</v>
      </c>
      <c r="G454" s="7" t="s">
        <v>27</v>
      </c>
      <c r="H454" s="10" t="s">
        <v>30</v>
      </c>
      <c r="I454" s="9">
        <v>12</v>
      </c>
      <c r="J454" s="7" t="s">
        <v>237</v>
      </c>
      <c r="K454" s="7" t="s">
        <v>637</v>
      </c>
      <c r="L454" s="11" t="str">
        <f>HYPERLINK("http://slimages.macys.com/is/image/MCY/13746185 ")</f>
        <v xml:space="preserve">http://slimages.macys.com/is/image/MCY/13746185 </v>
      </c>
    </row>
    <row r="455" spans="1:12" ht="48" x14ac:dyDescent="0.25">
      <c r="A455" s="10" t="s">
        <v>1081</v>
      </c>
      <c r="B455" s="7" t="s">
        <v>500</v>
      </c>
      <c r="C455" s="8">
        <v>1</v>
      </c>
      <c r="D455" s="9">
        <v>19.5</v>
      </c>
      <c r="E455" s="9">
        <v>48.99</v>
      </c>
      <c r="F455" s="8" t="s">
        <v>501</v>
      </c>
      <c r="G455" s="7" t="s">
        <v>27</v>
      </c>
      <c r="H455" s="10" t="s">
        <v>441</v>
      </c>
      <c r="I455" s="9">
        <v>5.85</v>
      </c>
      <c r="J455" s="7" t="s">
        <v>496</v>
      </c>
      <c r="K455" s="7" t="s">
        <v>72</v>
      </c>
      <c r="L455" s="11" t="str">
        <f>HYPERLINK("http://slimages.macys.com/is/image/MCY/14748351 ")</f>
        <v xml:space="preserve">http://slimages.macys.com/is/image/MCY/14748351 </v>
      </c>
    </row>
    <row r="456" spans="1:12" ht="48" x14ac:dyDescent="0.25">
      <c r="A456" s="10" t="s">
        <v>1080</v>
      </c>
      <c r="B456" s="7" t="s">
        <v>664</v>
      </c>
      <c r="C456" s="8">
        <v>1</v>
      </c>
      <c r="D456" s="9">
        <v>47.6</v>
      </c>
      <c r="E456" s="9">
        <v>119</v>
      </c>
      <c r="F456" s="8" t="s">
        <v>663</v>
      </c>
      <c r="G456" s="7" t="s">
        <v>377</v>
      </c>
      <c r="H456" s="10" t="s">
        <v>31</v>
      </c>
      <c r="I456" s="9">
        <v>14.28</v>
      </c>
      <c r="J456" s="7" t="s">
        <v>249</v>
      </c>
      <c r="K456" s="7" t="s">
        <v>359</v>
      </c>
      <c r="L456" s="11" t="str">
        <f>HYPERLINK("http://slimages.macys.com/is/image/MCY/15296970 ")</f>
        <v xml:space="preserve">http://slimages.macys.com/is/image/MCY/15296970 </v>
      </c>
    </row>
    <row r="457" spans="1:12" ht="48" x14ac:dyDescent="0.25">
      <c r="A457" s="10" t="s">
        <v>1079</v>
      </c>
      <c r="B457" s="7" t="s">
        <v>1078</v>
      </c>
      <c r="C457" s="8">
        <v>1</v>
      </c>
      <c r="D457" s="9">
        <v>22</v>
      </c>
      <c r="E457" s="9">
        <v>69</v>
      </c>
      <c r="F457" s="8" t="s">
        <v>1077</v>
      </c>
      <c r="G457" s="7" t="s">
        <v>95</v>
      </c>
      <c r="H457" s="10" t="s">
        <v>441</v>
      </c>
      <c r="I457" s="9">
        <v>6.6</v>
      </c>
      <c r="J457" s="7" t="s">
        <v>382</v>
      </c>
      <c r="K457" s="7" t="s">
        <v>46</v>
      </c>
      <c r="L457" s="11" t="str">
        <f>HYPERLINK("http://slimages.macys.com/is/image/MCY/15669396 ")</f>
        <v xml:space="preserve">http://slimages.macys.com/is/image/MCY/15669396 </v>
      </c>
    </row>
    <row r="458" spans="1:12" ht="48" x14ac:dyDescent="0.25">
      <c r="A458" s="10" t="s">
        <v>1076</v>
      </c>
      <c r="B458" s="7" t="s">
        <v>1075</v>
      </c>
      <c r="C458" s="8">
        <v>1</v>
      </c>
      <c r="D458" s="9">
        <v>24</v>
      </c>
      <c r="E458" s="9">
        <v>79</v>
      </c>
      <c r="F458" s="8" t="s">
        <v>1074</v>
      </c>
      <c r="G458" s="7" t="s">
        <v>45</v>
      </c>
      <c r="H458" s="10" t="s">
        <v>442</v>
      </c>
      <c r="I458" s="9">
        <v>7.2</v>
      </c>
      <c r="J458" s="7" t="s">
        <v>382</v>
      </c>
      <c r="K458" s="7" t="s">
        <v>1073</v>
      </c>
      <c r="L458" s="11" t="str">
        <f>HYPERLINK("http://slimages.macys.com/is/image/MCY/13803018 ")</f>
        <v xml:space="preserve">http://slimages.macys.com/is/image/MCY/13803018 </v>
      </c>
    </row>
    <row r="459" spans="1:12" ht="48" x14ac:dyDescent="0.25">
      <c r="A459" s="10" t="s">
        <v>586</v>
      </c>
      <c r="B459" s="7" t="s">
        <v>503</v>
      </c>
      <c r="C459" s="8">
        <v>1</v>
      </c>
      <c r="D459" s="9">
        <v>19.25</v>
      </c>
      <c r="E459" s="9">
        <v>59</v>
      </c>
      <c r="F459" s="8" t="s">
        <v>504</v>
      </c>
      <c r="G459" s="7" t="s">
        <v>99</v>
      </c>
      <c r="H459" s="10" t="s">
        <v>405</v>
      </c>
      <c r="I459" s="9">
        <v>5.7750000000000004</v>
      </c>
      <c r="J459" s="7" t="s">
        <v>475</v>
      </c>
      <c r="K459" s="7" t="s">
        <v>61</v>
      </c>
      <c r="L459" s="11" t="str">
        <f>HYPERLINK("http://slimages.macys.com/is/image/MCY/15216662 ")</f>
        <v xml:space="preserve">http://slimages.macys.com/is/image/MCY/15216662 </v>
      </c>
    </row>
    <row r="460" spans="1:12" ht="72" x14ac:dyDescent="0.25">
      <c r="A460" s="10" t="s">
        <v>1072</v>
      </c>
      <c r="B460" s="7" t="s">
        <v>1069</v>
      </c>
      <c r="C460" s="8">
        <v>1</v>
      </c>
      <c r="D460" s="9">
        <v>55.6</v>
      </c>
      <c r="E460" s="9">
        <v>139</v>
      </c>
      <c r="F460" s="8" t="s">
        <v>1068</v>
      </c>
      <c r="G460" s="7"/>
      <c r="H460" s="10" t="s">
        <v>38</v>
      </c>
      <c r="I460" s="9">
        <v>16.68</v>
      </c>
      <c r="J460" s="7" t="s">
        <v>134</v>
      </c>
      <c r="K460" s="7" t="s">
        <v>1067</v>
      </c>
      <c r="L460" s="11" t="str">
        <f>HYPERLINK("http://slimages.macys.com/is/image/MCY/14401918 ")</f>
        <v xml:space="preserve">http://slimages.macys.com/is/image/MCY/14401918 </v>
      </c>
    </row>
    <row r="461" spans="1:12" ht="72" x14ac:dyDescent="0.25">
      <c r="A461" s="10" t="s">
        <v>1071</v>
      </c>
      <c r="B461" s="7" t="s">
        <v>1069</v>
      </c>
      <c r="C461" s="8">
        <v>1</v>
      </c>
      <c r="D461" s="9">
        <v>55.6</v>
      </c>
      <c r="E461" s="9">
        <v>139</v>
      </c>
      <c r="F461" s="8" t="s">
        <v>1068</v>
      </c>
      <c r="G461" s="7"/>
      <c r="H461" s="10" t="s">
        <v>102</v>
      </c>
      <c r="I461" s="9">
        <v>16.68</v>
      </c>
      <c r="J461" s="7" t="s">
        <v>134</v>
      </c>
      <c r="K461" s="7" t="s">
        <v>1067</v>
      </c>
      <c r="L461" s="11" t="str">
        <f>HYPERLINK("http://slimages.macys.com/is/image/MCY/14401918 ")</f>
        <v xml:space="preserve">http://slimages.macys.com/is/image/MCY/14401918 </v>
      </c>
    </row>
    <row r="462" spans="1:12" ht="72" x14ac:dyDescent="0.25">
      <c r="A462" s="10" t="s">
        <v>1070</v>
      </c>
      <c r="B462" s="7" t="s">
        <v>1069</v>
      </c>
      <c r="C462" s="8">
        <v>1</v>
      </c>
      <c r="D462" s="9">
        <v>55.6</v>
      </c>
      <c r="E462" s="9">
        <v>139</v>
      </c>
      <c r="F462" s="8" t="s">
        <v>1068</v>
      </c>
      <c r="G462" s="7"/>
      <c r="H462" s="10" t="s">
        <v>68</v>
      </c>
      <c r="I462" s="9">
        <v>16.68</v>
      </c>
      <c r="J462" s="7" t="s">
        <v>134</v>
      </c>
      <c r="K462" s="7" t="s">
        <v>1067</v>
      </c>
      <c r="L462" s="11" t="str">
        <f>HYPERLINK("http://slimages.macys.com/is/image/MCY/14401918 ")</f>
        <v xml:space="preserve">http://slimages.macys.com/is/image/MCY/14401918 </v>
      </c>
    </row>
    <row r="463" spans="1:12" ht="48" x14ac:dyDescent="0.25">
      <c r="A463" s="10" t="s">
        <v>1066</v>
      </c>
      <c r="B463" s="7" t="s">
        <v>1064</v>
      </c>
      <c r="C463" s="8">
        <v>1</v>
      </c>
      <c r="D463" s="9">
        <v>17</v>
      </c>
      <c r="E463" s="9">
        <v>59</v>
      </c>
      <c r="F463" s="8" t="s">
        <v>1063</v>
      </c>
      <c r="G463" s="7" t="s">
        <v>331</v>
      </c>
      <c r="H463" s="10" t="s">
        <v>78</v>
      </c>
      <c r="I463" s="9">
        <v>5.0999999999999996</v>
      </c>
      <c r="J463" s="7" t="s">
        <v>382</v>
      </c>
      <c r="K463" s="7" t="s">
        <v>61</v>
      </c>
      <c r="L463" s="11" t="str">
        <f>HYPERLINK("http://slimages.macys.com/is/image/MCY/15297430 ")</f>
        <v xml:space="preserve">http://slimages.macys.com/is/image/MCY/15297430 </v>
      </c>
    </row>
    <row r="464" spans="1:12" ht="48" x14ac:dyDescent="0.25">
      <c r="A464" s="10" t="s">
        <v>1065</v>
      </c>
      <c r="B464" s="7" t="s">
        <v>1064</v>
      </c>
      <c r="C464" s="8">
        <v>1</v>
      </c>
      <c r="D464" s="9">
        <v>17</v>
      </c>
      <c r="E464" s="9">
        <v>59</v>
      </c>
      <c r="F464" s="8" t="s">
        <v>1063</v>
      </c>
      <c r="G464" s="7" t="s">
        <v>331</v>
      </c>
      <c r="H464" s="10" t="s">
        <v>132</v>
      </c>
      <c r="I464" s="9">
        <v>5.0999999999999996</v>
      </c>
      <c r="J464" s="7" t="s">
        <v>382</v>
      </c>
      <c r="K464" s="7" t="s">
        <v>61</v>
      </c>
      <c r="L464" s="11" t="str">
        <f>HYPERLINK("http://slimages.macys.com/is/image/MCY/15297430 ")</f>
        <v xml:space="preserve">http://slimages.macys.com/is/image/MCY/15297430 </v>
      </c>
    </row>
    <row r="465" spans="1:12" ht="48" x14ac:dyDescent="0.25">
      <c r="A465" s="10" t="s">
        <v>1062</v>
      </c>
      <c r="B465" s="7" t="s">
        <v>1061</v>
      </c>
      <c r="C465" s="8">
        <v>1</v>
      </c>
      <c r="D465" s="9">
        <v>47.6</v>
      </c>
      <c r="E465" s="9">
        <v>119</v>
      </c>
      <c r="F465" s="8" t="s">
        <v>1060</v>
      </c>
      <c r="G465" s="7" t="s">
        <v>117</v>
      </c>
      <c r="H465" s="10" t="s">
        <v>53</v>
      </c>
      <c r="I465" s="9">
        <v>14.28</v>
      </c>
      <c r="J465" s="7" t="s">
        <v>249</v>
      </c>
      <c r="K465" s="7" t="s">
        <v>219</v>
      </c>
      <c r="L465" s="11" t="str">
        <f>HYPERLINK("http://slimages.macys.com/is/image/MCY/14913875 ")</f>
        <v xml:space="preserve">http://slimages.macys.com/is/image/MCY/14913875 </v>
      </c>
    </row>
    <row r="466" spans="1:12" ht="24" x14ac:dyDescent="0.25">
      <c r="A466" s="10" t="s">
        <v>1059</v>
      </c>
      <c r="B466" s="7" t="s">
        <v>562</v>
      </c>
      <c r="C466" s="8">
        <v>1</v>
      </c>
      <c r="D466" s="9">
        <v>46</v>
      </c>
      <c r="E466" s="9">
        <v>128</v>
      </c>
      <c r="F466" s="8" t="s">
        <v>563</v>
      </c>
      <c r="G466" s="7" t="s">
        <v>27</v>
      </c>
      <c r="H466" s="10" t="s">
        <v>31</v>
      </c>
      <c r="I466" s="9">
        <v>13.8</v>
      </c>
      <c r="J466" s="7" t="s">
        <v>79</v>
      </c>
      <c r="K466" s="7"/>
      <c r="L466" s="11"/>
    </row>
    <row r="467" spans="1:12" ht="84" x14ac:dyDescent="0.25">
      <c r="A467" s="10" t="s">
        <v>352</v>
      </c>
      <c r="B467" s="7" t="s">
        <v>353</v>
      </c>
      <c r="C467" s="8">
        <v>1</v>
      </c>
      <c r="D467" s="9">
        <v>41.65</v>
      </c>
      <c r="E467" s="9">
        <v>119</v>
      </c>
      <c r="F467" s="8" t="s">
        <v>354</v>
      </c>
      <c r="G467" s="7" t="s">
        <v>27</v>
      </c>
      <c r="H467" s="10" t="s">
        <v>62</v>
      </c>
      <c r="I467" s="9">
        <v>12.494999999999999</v>
      </c>
      <c r="J467" s="7" t="s">
        <v>183</v>
      </c>
      <c r="K467" s="7" t="s">
        <v>355</v>
      </c>
      <c r="L467" s="11" t="str">
        <f>HYPERLINK("http://slimages.macys.com/is/image/MCY/10039803 ")</f>
        <v xml:space="preserve">http://slimages.macys.com/is/image/MCY/10039803 </v>
      </c>
    </row>
    <row r="468" spans="1:12" ht="84" x14ac:dyDescent="0.25">
      <c r="A468" s="10" t="s">
        <v>1058</v>
      </c>
      <c r="B468" s="7" t="s">
        <v>353</v>
      </c>
      <c r="C468" s="8">
        <v>2</v>
      </c>
      <c r="D468" s="9">
        <v>41.65</v>
      </c>
      <c r="E468" s="9">
        <v>119</v>
      </c>
      <c r="F468" s="8" t="s">
        <v>354</v>
      </c>
      <c r="G468" s="7" t="s">
        <v>27</v>
      </c>
      <c r="H468" s="10" t="s">
        <v>30</v>
      </c>
      <c r="I468" s="9">
        <v>12.494999999999999</v>
      </c>
      <c r="J468" s="7" t="s">
        <v>183</v>
      </c>
      <c r="K468" s="7" t="s">
        <v>355</v>
      </c>
      <c r="L468" s="11" t="str">
        <f>HYPERLINK("http://slimages.macys.com/is/image/MCY/10039803 ")</f>
        <v xml:space="preserve">http://slimages.macys.com/is/image/MCY/10039803 </v>
      </c>
    </row>
    <row r="469" spans="1:12" ht="84" x14ac:dyDescent="0.25">
      <c r="A469" s="10" t="s">
        <v>358</v>
      </c>
      <c r="B469" s="7" t="s">
        <v>353</v>
      </c>
      <c r="C469" s="8">
        <v>1</v>
      </c>
      <c r="D469" s="9">
        <v>41.65</v>
      </c>
      <c r="E469" s="9">
        <v>119</v>
      </c>
      <c r="F469" s="8" t="s">
        <v>354</v>
      </c>
      <c r="G469" s="7" t="s">
        <v>27</v>
      </c>
      <c r="H469" s="10" t="s">
        <v>53</v>
      </c>
      <c r="I469" s="9">
        <v>12.494999999999999</v>
      </c>
      <c r="J469" s="7" t="s">
        <v>183</v>
      </c>
      <c r="K469" s="7" t="s">
        <v>355</v>
      </c>
      <c r="L469" s="11" t="str">
        <f>HYPERLINK("http://slimages.macys.com/is/image/MCY/10039803 ")</f>
        <v xml:space="preserve">http://slimages.macys.com/is/image/MCY/10039803 </v>
      </c>
    </row>
    <row r="470" spans="1:12" ht="48" x14ac:dyDescent="0.25">
      <c r="A470" s="10" t="s">
        <v>1057</v>
      </c>
      <c r="B470" s="7" t="s">
        <v>1055</v>
      </c>
      <c r="C470" s="8">
        <v>1</v>
      </c>
      <c r="D470" s="9">
        <v>54.83</v>
      </c>
      <c r="E470" s="9">
        <v>129</v>
      </c>
      <c r="F470" s="8" t="s">
        <v>1054</v>
      </c>
      <c r="G470" s="7" t="s">
        <v>27</v>
      </c>
      <c r="H470" s="10" t="s">
        <v>28</v>
      </c>
      <c r="I470" s="9">
        <v>16.449000000000002</v>
      </c>
      <c r="J470" s="7" t="s">
        <v>118</v>
      </c>
      <c r="K470" s="7" t="s">
        <v>52</v>
      </c>
      <c r="L470" s="11" t="str">
        <f>HYPERLINK("http://slimages.macys.com/is/image/MCY/15147300 ")</f>
        <v xml:space="preserve">http://slimages.macys.com/is/image/MCY/15147300 </v>
      </c>
    </row>
    <row r="471" spans="1:12" ht="48" x14ac:dyDescent="0.25">
      <c r="A471" s="10" t="s">
        <v>1056</v>
      </c>
      <c r="B471" s="7" t="s">
        <v>1055</v>
      </c>
      <c r="C471" s="8">
        <v>1</v>
      </c>
      <c r="D471" s="9">
        <v>54.83</v>
      </c>
      <c r="E471" s="9">
        <v>129</v>
      </c>
      <c r="F471" s="8" t="s">
        <v>1054</v>
      </c>
      <c r="G471" s="7" t="s">
        <v>27</v>
      </c>
      <c r="H471" s="10" t="s">
        <v>31</v>
      </c>
      <c r="I471" s="9">
        <v>16.449000000000002</v>
      </c>
      <c r="J471" s="7" t="s">
        <v>118</v>
      </c>
      <c r="K471" s="7" t="s">
        <v>52</v>
      </c>
      <c r="L471" s="11" t="str">
        <f>HYPERLINK("http://slimages.macys.com/is/image/MCY/15147300 ")</f>
        <v xml:space="preserve">http://slimages.macys.com/is/image/MCY/15147300 </v>
      </c>
    </row>
    <row r="472" spans="1:12" ht="48" x14ac:dyDescent="0.25">
      <c r="A472" s="10" t="s">
        <v>1053</v>
      </c>
      <c r="B472" s="7" t="s">
        <v>1052</v>
      </c>
      <c r="C472" s="8">
        <v>1</v>
      </c>
      <c r="D472" s="9">
        <v>101.58</v>
      </c>
      <c r="E472" s="9">
        <v>239</v>
      </c>
      <c r="F472" s="8" t="s">
        <v>1051</v>
      </c>
      <c r="G472" s="7" t="s">
        <v>27</v>
      </c>
      <c r="H472" s="10" t="s">
        <v>739</v>
      </c>
      <c r="I472" s="9">
        <v>30.474</v>
      </c>
      <c r="J472" s="7" t="s">
        <v>65</v>
      </c>
      <c r="K472" s="7" t="s">
        <v>46</v>
      </c>
      <c r="L472" s="11" t="str">
        <f>HYPERLINK("http://slimages.macys.com/is/image/MCY/14529936 ")</f>
        <v xml:space="preserve">http://slimages.macys.com/is/image/MCY/14529936 </v>
      </c>
    </row>
    <row r="473" spans="1:12" ht="48" x14ac:dyDescent="0.25">
      <c r="A473" s="10" t="s">
        <v>1050</v>
      </c>
      <c r="B473" s="7" t="s">
        <v>718</v>
      </c>
      <c r="C473" s="8">
        <v>1</v>
      </c>
      <c r="D473" s="9">
        <v>66.2</v>
      </c>
      <c r="E473" s="9">
        <v>179</v>
      </c>
      <c r="F473" s="8" t="s">
        <v>717</v>
      </c>
      <c r="G473" s="7" t="s">
        <v>202</v>
      </c>
      <c r="H473" s="10" t="s">
        <v>28</v>
      </c>
      <c r="I473" s="9">
        <v>19.86</v>
      </c>
      <c r="J473" s="7" t="s">
        <v>75</v>
      </c>
      <c r="K473" s="7" t="s">
        <v>716</v>
      </c>
      <c r="L473" s="11" t="str">
        <f>HYPERLINK("http://slimages.macys.com/is/image/MCY/15009225 ")</f>
        <v xml:space="preserve">http://slimages.macys.com/is/image/MCY/15009225 </v>
      </c>
    </row>
    <row r="474" spans="1:12" ht="48" x14ac:dyDescent="0.25">
      <c r="A474" s="10" t="s">
        <v>1049</v>
      </c>
      <c r="B474" s="7" t="s">
        <v>1048</v>
      </c>
      <c r="C474" s="8">
        <v>1</v>
      </c>
      <c r="D474" s="9">
        <v>73.599999999999994</v>
      </c>
      <c r="E474" s="9">
        <v>199</v>
      </c>
      <c r="F474" s="8" t="s">
        <v>1047</v>
      </c>
      <c r="G474" s="7" t="s">
        <v>27</v>
      </c>
      <c r="H474" s="10" t="s">
        <v>30</v>
      </c>
      <c r="I474" s="9">
        <v>22.08</v>
      </c>
      <c r="J474" s="7" t="s">
        <v>75</v>
      </c>
      <c r="K474" s="7" t="s">
        <v>219</v>
      </c>
      <c r="L474" s="11" t="str">
        <f>HYPERLINK("http://slimages.macys.com/is/image/MCY/15009367 ")</f>
        <v xml:space="preserve">http://slimages.macys.com/is/image/MCY/15009367 </v>
      </c>
    </row>
    <row r="475" spans="1:12" ht="48" x14ac:dyDescent="0.25">
      <c r="A475" s="10" t="s">
        <v>1046</v>
      </c>
      <c r="B475" s="7" t="s">
        <v>1045</v>
      </c>
      <c r="C475" s="8">
        <v>1</v>
      </c>
      <c r="D475" s="9">
        <v>121.7</v>
      </c>
      <c r="E475" s="9">
        <v>329</v>
      </c>
      <c r="F475" s="8" t="s">
        <v>1044</v>
      </c>
      <c r="G475" s="7" t="s">
        <v>27</v>
      </c>
      <c r="H475" s="10" t="s">
        <v>30</v>
      </c>
      <c r="I475" s="9">
        <v>36.51</v>
      </c>
      <c r="J475" s="7" t="s">
        <v>75</v>
      </c>
      <c r="K475" s="7" t="s">
        <v>52</v>
      </c>
      <c r="L475" s="11" t="str">
        <f>HYPERLINK("http://slimages.macys.com/is/image/MCY/15009305 ")</f>
        <v xml:space="preserve">http://slimages.macys.com/is/image/MCY/15009305 </v>
      </c>
    </row>
    <row r="476" spans="1:12" ht="48" x14ac:dyDescent="0.25">
      <c r="A476" s="10" t="s">
        <v>1043</v>
      </c>
      <c r="B476" s="7" t="s">
        <v>1042</v>
      </c>
      <c r="C476" s="8">
        <v>1</v>
      </c>
      <c r="D476" s="9">
        <v>38</v>
      </c>
      <c r="E476" s="9">
        <v>128</v>
      </c>
      <c r="F476" s="8" t="s">
        <v>1041</v>
      </c>
      <c r="G476" s="7" t="s">
        <v>184</v>
      </c>
      <c r="H476" s="10" t="s">
        <v>89</v>
      </c>
      <c r="I476" s="9">
        <v>11.4</v>
      </c>
      <c r="J476" s="7" t="s">
        <v>79</v>
      </c>
      <c r="K476" s="7" t="s">
        <v>188</v>
      </c>
      <c r="L476" s="11" t="str">
        <f>HYPERLINK("http://slimages.macys.com/is/image/MCY/15209205 ")</f>
        <v xml:space="preserve">http://slimages.macys.com/is/image/MCY/15209205 </v>
      </c>
    </row>
    <row r="477" spans="1:12" ht="48" x14ac:dyDescent="0.25">
      <c r="A477" s="10" t="s">
        <v>1040</v>
      </c>
      <c r="B477" s="7" t="s">
        <v>112</v>
      </c>
      <c r="C477" s="8">
        <v>1</v>
      </c>
      <c r="D477" s="9">
        <v>84.7</v>
      </c>
      <c r="E477" s="9">
        <v>229</v>
      </c>
      <c r="F477" s="8" t="s">
        <v>113</v>
      </c>
      <c r="G477" s="7" t="s">
        <v>88</v>
      </c>
      <c r="H477" s="10" t="s">
        <v>35</v>
      </c>
      <c r="I477" s="9">
        <v>25.41</v>
      </c>
      <c r="J477" s="7" t="s">
        <v>75</v>
      </c>
      <c r="K477" s="7" t="s">
        <v>46</v>
      </c>
      <c r="L477" s="11" t="str">
        <f>HYPERLINK("http://slimages.macys.com/is/image/MCY/13934154 ")</f>
        <v xml:space="preserve">http://slimages.macys.com/is/image/MCY/13934154 </v>
      </c>
    </row>
    <row r="478" spans="1:12" ht="48" x14ac:dyDescent="0.25">
      <c r="A478" s="10" t="s">
        <v>611</v>
      </c>
      <c r="B478" s="7" t="s">
        <v>610</v>
      </c>
      <c r="C478" s="8">
        <v>1</v>
      </c>
      <c r="D478" s="9">
        <v>24.75</v>
      </c>
      <c r="E478" s="9">
        <v>79</v>
      </c>
      <c r="F478" s="8" t="s">
        <v>609</v>
      </c>
      <c r="G478" s="7"/>
      <c r="H478" s="10" t="s">
        <v>405</v>
      </c>
      <c r="I478" s="9">
        <v>7.4249999999999998</v>
      </c>
      <c r="J478" s="7" t="s">
        <v>475</v>
      </c>
      <c r="K478" s="7" t="s">
        <v>608</v>
      </c>
      <c r="L478" s="11" t="str">
        <f>HYPERLINK("http://slimages.macys.com/is/image/MCY/15209047 ")</f>
        <v xml:space="preserve">http://slimages.macys.com/is/image/MCY/15209047 </v>
      </c>
    </row>
    <row r="479" spans="1:12" ht="72" x14ac:dyDescent="0.25">
      <c r="A479" s="10" t="s">
        <v>1039</v>
      </c>
      <c r="B479" s="7" t="s">
        <v>1038</v>
      </c>
      <c r="C479" s="8">
        <v>1</v>
      </c>
      <c r="D479" s="9">
        <v>59.6</v>
      </c>
      <c r="E479" s="9">
        <v>149</v>
      </c>
      <c r="F479" s="8" t="s">
        <v>1037</v>
      </c>
      <c r="G479" s="7" t="s">
        <v>106</v>
      </c>
      <c r="H479" s="10" t="s">
        <v>124</v>
      </c>
      <c r="I479" s="9">
        <v>17.88</v>
      </c>
      <c r="J479" s="7" t="s">
        <v>39</v>
      </c>
      <c r="K479" s="7" t="s">
        <v>1036</v>
      </c>
      <c r="L479" s="11" t="str">
        <f>HYPERLINK("http://slimages.macys.com/is/image/MCY/15174652 ")</f>
        <v xml:space="preserve">http://slimages.macys.com/is/image/MCY/15174652 </v>
      </c>
    </row>
    <row r="480" spans="1:12" ht="48" x14ac:dyDescent="0.25">
      <c r="A480" s="10" t="s">
        <v>1035</v>
      </c>
      <c r="B480" s="7" t="s">
        <v>1034</v>
      </c>
      <c r="C480" s="8">
        <v>1</v>
      </c>
      <c r="D480" s="9">
        <v>19</v>
      </c>
      <c r="E480" s="9">
        <v>59</v>
      </c>
      <c r="F480" s="8" t="s">
        <v>1033</v>
      </c>
      <c r="G480" s="7" t="s">
        <v>114</v>
      </c>
      <c r="H480" s="10" t="s">
        <v>212</v>
      </c>
      <c r="I480" s="9">
        <v>5.7</v>
      </c>
      <c r="J480" s="7" t="s">
        <v>382</v>
      </c>
      <c r="K480" s="7" t="s">
        <v>72</v>
      </c>
      <c r="L480" s="11" t="str">
        <f>HYPERLINK("http://slimages.macys.com/is/image/MCY/15495926 ")</f>
        <v xml:space="preserve">http://slimages.macys.com/is/image/MCY/15495926 </v>
      </c>
    </row>
    <row r="481" spans="1:12" ht="60" x14ac:dyDescent="0.25">
      <c r="A481" s="10" t="s">
        <v>530</v>
      </c>
      <c r="B481" s="7" t="s">
        <v>531</v>
      </c>
      <c r="C481" s="8">
        <v>2</v>
      </c>
      <c r="D481" s="9">
        <v>17</v>
      </c>
      <c r="E481" s="9">
        <v>59</v>
      </c>
      <c r="F481" s="8" t="s">
        <v>532</v>
      </c>
      <c r="G481" s="7" t="s">
        <v>114</v>
      </c>
      <c r="H481" s="10" t="s">
        <v>285</v>
      </c>
      <c r="I481" s="9">
        <v>5.0999999999999996</v>
      </c>
      <c r="J481" s="7" t="s">
        <v>475</v>
      </c>
      <c r="K481" s="7" t="s">
        <v>36</v>
      </c>
      <c r="L481" s="11" t="str">
        <f>HYPERLINK("http://slimages.macys.com/is/image/MCY/8996845 ")</f>
        <v xml:space="preserve">http://slimages.macys.com/is/image/MCY/8996845 </v>
      </c>
    </row>
    <row r="482" spans="1:12" ht="60" x14ac:dyDescent="0.25">
      <c r="A482" s="10" t="s">
        <v>1032</v>
      </c>
      <c r="B482" s="7" t="s">
        <v>531</v>
      </c>
      <c r="C482" s="8">
        <v>1</v>
      </c>
      <c r="D482" s="9">
        <v>17</v>
      </c>
      <c r="E482" s="9">
        <v>59</v>
      </c>
      <c r="F482" s="8" t="s">
        <v>532</v>
      </c>
      <c r="G482" s="7" t="s">
        <v>114</v>
      </c>
      <c r="H482" s="10" t="s">
        <v>212</v>
      </c>
      <c r="I482" s="9">
        <v>5.0999999999999996</v>
      </c>
      <c r="J482" s="7" t="s">
        <v>475</v>
      </c>
      <c r="K482" s="7" t="s">
        <v>36</v>
      </c>
      <c r="L482" s="11" t="str">
        <f>HYPERLINK("http://slimages.macys.com/is/image/MCY/8996845 ")</f>
        <v xml:space="preserve">http://slimages.macys.com/is/image/MCY/8996845 </v>
      </c>
    </row>
    <row r="483" spans="1:12" ht="60" x14ac:dyDescent="0.25">
      <c r="A483" s="10" t="s">
        <v>1031</v>
      </c>
      <c r="B483" s="7" t="s">
        <v>531</v>
      </c>
      <c r="C483" s="8">
        <v>2</v>
      </c>
      <c r="D483" s="9">
        <v>17</v>
      </c>
      <c r="E483" s="9">
        <v>59</v>
      </c>
      <c r="F483" s="8" t="s">
        <v>532</v>
      </c>
      <c r="G483" s="7" t="s">
        <v>114</v>
      </c>
      <c r="H483" s="10" t="s">
        <v>82</v>
      </c>
      <c r="I483" s="9">
        <v>5.0999999999999996</v>
      </c>
      <c r="J483" s="7" t="s">
        <v>475</v>
      </c>
      <c r="K483" s="7" t="s">
        <v>36</v>
      </c>
      <c r="L483" s="11" t="str">
        <f>HYPERLINK("http://slimages.macys.com/is/image/MCY/8996845 ")</f>
        <v xml:space="preserve">http://slimages.macys.com/is/image/MCY/8996845 </v>
      </c>
    </row>
    <row r="484" spans="1:12" ht="60" x14ac:dyDescent="0.25">
      <c r="A484" s="10" t="s">
        <v>572</v>
      </c>
      <c r="B484" s="7" t="s">
        <v>531</v>
      </c>
      <c r="C484" s="8">
        <v>1</v>
      </c>
      <c r="D484" s="9">
        <v>17</v>
      </c>
      <c r="E484" s="9">
        <v>59</v>
      </c>
      <c r="F484" s="8" t="s">
        <v>532</v>
      </c>
      <c r="G484" s="7" t="s">
        <v>114</v>
      </c>
      <c r="H484" s="10" t="s">
        <v>78</v>
      </c>
      <c r="I484" s="9">
        <v>5.0999999999999996</v>
      </c>
      <c r="J484" s="7" t="s">
        <v>475</v>
      </c>
      <c r="K484" s="7" t="s">
        <v>36</v>
      </c>
      <c r="L484" s="11" t="str">
        <f>HYPERLINK("http://slimages.macys.com/is/image/MCY/8996845 ")</f>
        <v xml:space="preserve">http://slimages.macys.com/is/image/MCY/8996845 </v>
      </c>
    </row>
    <row r="485" spans="1:12" ht="48" x14ac:dyDescent="0.25">
      <c r="A485" s="10" t="s">
        <v>1030</v>
      </c>
      <c r="B485" s="7" t="s">
        <v>110</v>
      </c>
      <c r="C485" s="8">
        <v>1</v>
      </c>
      <c r="D485" s="9">
        <v>84.7</v>
      </c>
      <c r="E485" s="9">
        <v>229</v>
      </c>
      <c r="F485" s="8" t="s">
        <v>111</v>
      </c>
      <c r="G485" s="7" t="s">
        <v>88</v>
      </c>
      <c r="H485" s="10" t="s">
        <v>30</v>
      </c>
      <c r="I485" s="9">
        <v>25.41</v>
      </c>
      <c r="J485" s="7" t="s">
        <v>75</v>
      </c>
      <c r="K485" s="7" t="s">
        <v>72</v>
      </c>
      <c r="L485" s="11" t="str">
        <f>HYPERLINK("http://slimages.macys.com/is/image/MCY/14705228 ")</f>
        <v xml:space="preserve">http://slimages.macys.com/is/image/MCY/14705228 </v>
      </c>
    </row>
    <row r="486" spans="1:12" ht="48" x14ac:dyDescent="0.25">
      <c r="A486" s="10" t="s">
        <v>1029</v>
      </c>
      <c r="B486" s="7" t="s">
        <v>110</v>
      </c>
      <c r="C486" s="8">
        <v>1</v>
      </c>
      <c r="D486" s="9">
        <v>84.7</v>
      </c>
      <c r="E486" s="9">
        <v>229</v>
      </c>
      <c r="F486" s="8" t="s">
        <v>111</v>
      </c>
      <c r="G486" s="7" t="s">
        <v>88</v>
      </c>
      <c r="H486" s="10" t="s">
        <v>57</v>
      </c>
      <c r="I486" s="9">
        <v>25.41</v>
      </c>
      <c r="J486" s="7" t="s">
        <v>75</v>
      </c>
      <c r="K486" s="7" t="s">
        <v>72</v>
      </c>
      <c r="L486" s="11" t="str">
        <f>HYPERLINK("http://slimages.macys.com/is/image/MCY/14705228 ")</f>
        <v xml:space="preserve">http://slimages.macys.com/is/image/MCY/14705228 </v>
      </c>
    </row>
    <row r="487" spans="1:12" ht="48" x14ac:dyDescent="0.25">
      <c r="A487" s="10" t="s">
        <v>1028</v>
      </c>
      <c r="B487" s="7" t="s">
        <v>110</v>
      </c>
      <c r="C487" s="8">
        <v>1</v>
      </c>
      <c r="D487" s="9">
        <v>84.7</v>
      </c>
      <c r="E487" s="9">
        <v>229</v>
      </c>
      <c r="F487" s="8" t="s">
        <v>111</v>
      </c>
      <c r="G487" s="7" t="s">
        <v>88</v>
      </c>
      <c r="H487" s="10" t="s">
        <v>25</v>
      </c>
      <c r="I487" s="9">
        <v>25.41</v>
      </c>
      <c r="J487" s="7" t="s">
        <v>75</v>
      </c>
      <c r="K487" s="7" t="s">
        <v>72</v>
      </c>
      <c r="L487" s="11" t="str">
        <f>HYPERLINK("http://slimages.macys.com/is/image/MCY/14705228 ")</f>
        <v xml:space="preserve">http://slimages.macys.com/is/image/MCY/14705228 </v>
      </c>
    </row>
    <row r="488" spans="1:12" ht="48" x14ac:dyDescent="0.25">
      <c r="A488" s="10" t="s">
        <v>109</v>
      </c>
      <c r="B488" s="7" t="s">
        <v>110</v>
      </c>
      <c r="C488" s="8">
        <v>1</v>
      </c>
      <c r="D488" s="9">
        <v>84.7</v>
      </c>
      <c r="E488" s="9">
        <v>229</v>
      </c>
      <c r="F488" s="8" t="s">
        <v>111</v>
      </c>
      <c r="G488" s="7" t="s">
        <v>88</v>
      </c>
      <c r="H488" s="10" t="s">
        <v>31</v>
      </c>
      <c r="I488" s="9">
        <v>25.41</v>
      </c>
      <c r="J488" s="7" t="s">
        <v>75</v>
      </c>
      <c r="K488" s="7" t="s">
        <v>72</v>
      </c>
      <c r="L488" s="11" t="str">
        <f>HYPERLINK("http://slimages.macys.com/is/image/MCY/14705228 ")</f>
        <v xml:space="preserve">http://slimages.macys.com/is/image/MCY/14705228 </v>
      </c>
    </row>
    <row r="489" spans="1:12" ht="48" x14ac:dyDescent="0.25">
      <c r="A489" s="10" t="s">
        <v>1027</v>
      </c>
      <c r="B489" s="7" t="s">
        <v>110</v>
      </c>
      <c r="C489" s="8">
        <v>1</v>
      </c>
      <c r="D489" s="9">
        <v>84.7</v>
      </c>
      <c r="E489" s="9">
        <v>229</v>
      </c>
      <c r="F489" s="8" t="s">
        <v>111</v>
      </c>
      <c r="G489" s="7" t="s">
        <v>88</v>
      </c>
      <c r="H489" s="10" t="s">
        <v>28</v>
      </c>
      <c r="I489" s="9">
        <v>25.41</v>
      </c>
      <c r="J489" s="7" t="s">
        <v>75</v>
      </c>
      <c r="K489" s="7" t="s">
        <v>72</v>
      </c>
      <c r="L489" s="11" t="str">
        <f>HYPERLINK("http://slimages.macys.com/is/image/MCY/14705228 ")</f>
        <v xml:space="preserve">http://slimages.macys.com/is/image/MCY/14705228 </v>
      </c>
    </row>
    <row r="490" spans="1:12" ht="48" x14ac:dyDescent="0.25">
      <c r="A490" s="10" t="s">
        <v>1026</v>
      </c>
      <c r="B490" s="7" t="s">
        <v>240</v>
      </c>
      <c r="C490" s="8">
        <v>1</v>
      </c>
      <c r="D490" s="9">
        <v>59.6</v>
      </c>
      <c r="E490" s="9">
        <v>149</v>
      </c>
      <c r="F490" s="8" t="s">
        <v>241</v>
      </c>
      <c r="G490" s="7" t="s">
        <v>27</v>
      </c>
      <c r="H490" s="10" t="s">
        <v>25</v>
      </c>
      <c r="I490" s="9">
        <v>17.88</v>
      </c>
      <c r="J490" s="7" t="s">
        <v>237</v>
      </c>
      <c r="K490" s="7" t="s">
        <v>72</v>
      </c>
      <c r="L490" s="11" t="str">
        <f>HYPERLINK("http://slimages.macys.com/is/image/MCY/13840141 ")</f>
        <v xml:space="preserve">http://slimages.macys.com/is/image/MCY/13840141 </v>
      </c>
    </row>
    <row r="491" spans="1:12" ht="48" x14ac:dyDescent="0.25">
      <c r="A491" s="10" t="s">
        <v>243</v>
      </c>
      <c r="B491" s="7" t="s">
        <v>240</v>
      </c>
      <c r="C491" s="8">
        <v>2</v>
      </c>
      <c r="D491" s="9">
        <v>59.6</v>
      </c>
      <c r="E491" s="9">
        <v>149</v>
      </c>
      <c r="F491" s="8" t="s">
        <v>241</v>
      </c>
      <c r="G491" s="7" t="s">
        <v>27</v>
      </c>
      <c r="H491" s="10" t="s">
        <v>62</v>
      </c>
      <c r="I491" s="9">
        <v>17.88</v>
      </c>
      <c r="J491" s="7" t="s">
        <v>237</v>
      </c>
      <c r="K491" s="7" t="s">
        <v>72</v>
      </c>
      <c r="L491" s="11" t="str">
        <f>HYPERLINK("http://slimages.macys.com/is/image/MCY/13840141 ")</f>
        <v xml:space="preserve">http://slimages.macys.com/is/image/MCY/13840141 </v>
      </c>
    </row>
    <row r="492" spans="1:12" ht="48" x14ac:dyDescent="0.25">
      <c r="A492" s="10" t="s">
        <v>1025</v>
      </c>
      <c r="B492" s="7" t="s">
        <v>240</v>
      </c>
      <c r="C492" s="8">
        <v>1</v>
      </c>
      <c r="D492" s="9">
        <v>59.6</v>
      </c>
      <c r="E492" s="9">
        <v>149</v>
      </c>
      <c r="F492" s="8" t="s">
        <v>241</v>
      </c>
      <c r="G492" s="7" t="s">
        <v>27</v>
      </c>
      <c r="H492" s="10" t="s">
        <v>28</v>
      </c>
      <c r="I492" s="9">
        <v>17.88</v>
      </c>
      <c r="J492" s="7" t="s">
        <v>237</v>
      </c>
      <c r="K492" s="7" t="s">
        <v>72</v>
      </c>
      <c r="L492" s="11" t="str">
        <f>HYPERLINK("http://slimages.macys.com/is/image/MCY/13840141 ")</f>
        <v xml:space="preserve">http://slimages.macys.com/is/image/MCY/13840141 </v>
      </c>
    </row>
    <row r="493" spans="1:12" ht="48" x14ac:dyDescent="0.25">
      <c r="A493" s="10" t="s">
        <v>239</v>
      </c>
      <c r="B493" s="7" t="s">
        <v>240</v>
      </c>
      <c r="C493" s="8">
        <v>1</v>
      </c>
      <c r="D493" s="9">
        <v>59.6</v>
      </c>
      <c r="E493" s="9">
        <v>149</v>
      </c>
      <c r="F493" s="8" t="s">
        <v>241</v>
      </c>
      <c r="G493" s="7" t="s">
        <v>27</v>
      </c>
      <c r="H493" s="10" t="s">
        <v>57</v>
      </c>
      <c r="I493" s="9">
        <v>17.88</v>
      </c>
      <c r="J493" s="7" t="s">
        <v>237</v>
      </c>
      <c r="K493" s="7" t="s">
        <v>72</v>
      </c>
      <c r="L493" s="11" t="str">
        <f>HYPERLINK("http://slimages.macys.com/is/image/MCY/13840141 ")</f>
        <v xml:space="preserve">http://slimages.macys.com/is/image/MCY/13840141 </v>
      </c>
    </row>
    <row r="494" spans="1:12" ht="48" x14ac:dyDescent="0.25">
      <c r="A494" s="10" t="s">
        <v>1024</v>
      </c>
      <c r="B494" s="7" t="s">
        <v>1023</v>
      </c>
      <c r="C494" s="8">
        <v>1</v>
      </c>
      <c r="D494" s="9">
        <v>29</v>
      </c>
      <c r="E494" s="9">
        <v>89</v>
      </c>
      <c r="F494" s="8" t="s">
        <v>1022</v>
      </c>
      <c r="G494" s="7" t="s">
        <v>60</v>
      </c>
      <c r="H494" s="10"/>
      <c r="I494" s="9">
        <v>8.6999999999999993</v>
      </c>
      <c r="J494" s="7" t="s">
        <v>65</v>
      </c>
      <c r="K494" s="7" t="s">
        <v>52</v>
      </c>
      <c r="L494" s="11" t="str">
        <f>HYPERLINK("http://slimages.macys.com/is/image/MCY/14022899 ")</f>
        <v xml:space="preserve">http://slimages.macys.com/is/image/MCY/14022899 </v>
      </c>
    </row>
    <row r="495" spans="1:12" ht="72" x14ac:dyDescent="0.25">
      <c r="A495" s="10" t="s">
        <v>1021</v>
      </c>
      <c r="B495" s="7" t="s">
        <v>1020</v>
      </c>
      <c r="C495" s="8">
        <v>1</v>
      </c>
      <c r="D495" s="9">
        <v>29.45</v>
      </c>
      <c r="E495" s="9">
        <v>99</v>
      </c>
      <c r="F495" s="8">
        <v>9155122</v>
      </c>
      <c r="G495" s="7" t="s">
        <v>202</v>
      </c>
      <c r="H495" s="10" t="s">
        <v>25</v>
      </c>
      <c r="I495" s="9">
        <v>8.8350000000000009</v>
      </c>
      <c r="J495" s="7" t="s">
        <v>182</v>
      </c>
      <c r="K495" s="7" t="s">
        <v>470</v>
      </c>
      <c r="L495" s="11" t="str">
        <f>HYPERLINK("http://slimages.macys.com/is/image/MCY/15394652 ")</f>
        <v xml:space="preserve">http://slimages.macys.com/is/image/MCY/15394652 </v>
      </c>
    </row>
    <row r="496" spans="1:12" ht="60" x14ac:dyDescent="0.25">
      <c r="A496" s="10" t="s">
        <v>1019</v>
      </c>
      <c r="B496" s="7" t="s">
        <v>1014</v>
      </c>
      <c r="C496" s="8">
        <v>1</v>
      </c>
      <c r="D496" s="9">
        <v>109</v>
      </c>
      <c r="E496" s="9">
        <v>259</v>
      </c>
      <c r="F496" s="8" t="s">
        <v>1018</v>
      </c>
      <c r="G496" s="7" t="s">
        <v>101</v>
      </c>
      <c r="H496" s="10" t="s">
        <v>57</v>
      </c>
      <c r="I496" s="9">
        <v>32.700000000000003</v>
      </c>
      <c r="J496" s="7" t="s">
        <v>54</v>
      </c>
      <c r="K496" s="7" t="s">
        <v>55</v>
      </c>
      <c r="L496" s="11" t="str">
        <f>HYPERLINK("http://slimages.macys.com/is/image/MCY/14397660 ")</f>
        <v xml:space="preserve">http://slimages.macys.com/is/image/MCY/14397660 </v>
      </c>
    </row>
    <row r="497" spans="1:12" ht="48" x14ac:dyDescent="0.25">
      <c r="A497" s="10" t="s">
        <v>1017</v>
      </c>
      <c r="B497" s="7" t="s">
        <v>1014</v>
      </c>
      <c r="C497" s="8">
        <v>1</v>
      </c>
      <c r="D497" s="9">
        <v>99</v>
      </c>
      <c r="E497" s="9">
        <v>249</v>
      </c>
      <c r="F497" s="8" t="s">
        <v>1016</v>
      </c>
      <c r="G497" s="7" t="s">
        <v>88</v>
      </c>
      <c r="H497" s="10" t="s">
        <v>57</v>
      </c>
      <c r="I497" s="9">
        <v>29.7</v>
      </c>
      <c r="J497" s="7" t="s">
        <v>54</v>
      </c>
      <c r="K497" s="7" t="s">
        <v>1012</v>
      </c>
      <c r="L497" s="11" t="str">
        <f>HYPERLINK("http://slimages.macys.com/is/image/MCY/14347411 ")</f>
        <v xml:space="preserve">http://slimages.macys.com/is/image/MCY/14347411 </v>
      </c>
    </row>
    <row r="498" spans="1:12" ht="48" x14ac:dyDescent="0.25">
      <c r="A498" s="10" t="s">
        <v>1015</v>
      </c>
      <c r="B498" s="7" t="s">
        <v>1014</v>
      </c>
      <c r="C498" s="8">
        <v>1</v>
      </c>
      <c r="D498" s="9">
        <v>99</v>
      </c>
      <c r="E498" s="9">
        <v>249</v>
      </c>
      <c r="F498" s="8" t="s">
        <v>1013</v>
      </c>
      <c r="G498" s="7" t="s">
        <v>88</v>
      </c>
      <c r="H498" s="10" t="s">
        <v>62</v>
      </c>
      <c r="I498" s="9">
        <v>29.7</v>
      </c>
      <c r="J498" s="7" t="s">
        <v>54</v>
      </c>
      <c r="K498" s="7" t="s">
        <v>1012</v>
      </c>
      <c r="L498" s="11" t="str">
        <f>HYPERLINK("http://slimages.macys.com/is/image/MCY/14350397 ")</f>
        <v xml:space="preserve">http://slimages.macys.com/is/image/MCY/14350397 </v>
      </c>
    </row>
    <row r="499" spans="1:12" ht="24" x14ac:dyDescent="0.25">
      <c r="A499" s="10" t="s">
        <v>1011</v>
      </c>
      <c r="B499" s="7" t="s">
        <v>1010</v>
      </c>
      <c r="C499" s="8">
        <v>1</v>
      </c>
      <c r="D499" s="9">
        <v>57.46</v>
      </c>
      <c r="E499" s="9">
        <v>169</v>
      </c>
      <c r="F499" s="8">
        <v>8491810</v>
      </c>
      <c r="G499" s="7" t="s">
        <v>27</v>
      </c>
      <c r="H499" s="10" t="s">
        <v>115</v>
      </c>
      <c r="I499" s="9">
        <v>17.238</v>
      </c>
      <c r="J499" s="7" t="s">
        <v>65</v>
      </c>
      <c r="K499" s="7"/>
      <c r="L499" s="11"/>
    </row>
    <row r="500" spans="1:12" ht="60" x14ac:dyDescent="0.25">
      <c r="A500" s="10" t="s">
        <v>404</v>
      </c>
      <c r="B500" s="7" t="s">
        <v>400</v>
      </c>
      <c r="C500" s="8">
        <v>1</v>
      </c>
      <c r="D500" s="9">
        <v>37</v>
      </c>
      <c r="E500" s="9">
        <v>99</v>
      </c>
      <c r="F500" s="8" t="s">
        <v>401</v>
      </c>
      <c r="G500" s="7" t="s">
        <v>211</v>
      </c>
      <c r="H500" s="10" t="s">
        <v>285</v>
      </c>
      <c r="I500" s="9">
        <v>11.1</v>
      </c>
      <c r="J500" s="7" t="s">
        <v>43</v>
      </c>
      <c r="K500" s="7" t="s">
        <v>232</v>
      </c>
      <c r="L500" s="11" t="str">
        <f>HYPERLINK("http://slimages.macys.com/is/image/MCY/14466540 ")</f>
        <v xml:space="preserve">http://slimages.macys.com/is/image/MCY/14466540 </v>
      </c>
    </row>
    <row r="501" spans="1:12" ht="60" x14ac:dyDescent="0.25">
      <c r="A501" s="10" t="s">
        <v>1009</v>
      </c>
      <c r="B501" s="7" t="s">
        <v>1008</v>
      </c>
      <c r="C501" s="8">
        <v>1</v>
      </c>
      <c r="D501" s="9">
        <v>71.599999999999994</v>
      </c>
      <c r="E501" s="9">
        <v>179</v>
      </c>
      <c r="F501" s="8">
        <v>8225901</v>
      </c>
      <c r="G501" s="7" t="s">
        <v>88</v>
      </c>
      <c r="H501" s="10" t="s">
        <v>40</v>
      </c>
      <c r="I501" s="9">
        <v>21.48</v>
      </c>
      <c r="J501" s="7" t="s">
        <v>39</v>
      </c>
      <c r="K501" s="7" t="s">
        <v>1007</v>
      </c>
      <c r="L501" s="11" t="str">
        <f>HYPERLINK("http://slimages.macys.com/is/image/MCY/14412773 ")</f>
        <v xml:space="preserve">http://slimages.macys.com/is/image/MCY/14412773 </v>
      </c>
    </row>
    <row r="502" spans="1:12" ht="48" x14ac:dyDescent="0.25">
      <c r="A502" s="10" t="s">
        <v>581</v>
      </c>
      <c r="B502" s="7" t="s">
        <v>514</v>
      </c>
      <c r="C502" s="8">
        <v>1</v>
      </c>
      <c r="D502" s="9">
        <v>18.5</v>
      </c>
      <c r="E502" s="9">
        <v>59</v>
      </c>
      <c r="F502" s="8" t="s">
        <v>515</v>
      </c>
      <c r="G502" s="7" t="s">
        <v>63</v>
      </c>
      <c r="H502" s="10" t="s">
        <v>454</v>
      </c>
      <c r="I502" s="9">
        <v>5.55</v>
      </c>
      <c r="J502" s="7" t="s">
        <v>475</v>
      </c>
      <c r="K502" s="7" t="s">
        <v>61</v>
      </c>
      <c r="L502" s="11" t="str">
        <f>HYPERLINK("http://slimages.macys.com/is/image/MCY/13289220 ")</f>
        <v xml:space="preserve">http://slimages.macys.com/is/image/MCY/13289220 </v>
      </c>
    </row>
    <row r="503" spans="1:12" ht="48" x14ac:dyDescent="0.25">
      <c r="A503" s="10" t="s">
        <v>513</v>
      </c>
      <c r="B503" s="7" t="s">
        <v>514</v>
      </c>
      <c r="C503" s="8">
        <v>1</v>
      </c>
      <c r="D503" s="9">
        <v>18.5</v>
      </c>
      <c r="E503" s="9">
        <v>59</v>
      </c>
      <c r="F503" s="8" t="s">
        <v>515</v>
      </c>
      <c r="G503" s="7" t="s">
        <v>63</v>
      </c>
      <c r="H503" s="10" t="s">
        <v>405</v>
      </c>
      <c r="I503" s="9">
        <v>5.55</v>
      </c>
      <c r="J503" s="7" t="s">
        <v>475</v>
      </c>
      <c r="K503" s="7" t="s">
        <v>61</v>
      </c>
      <c r="L503" s="11" t="str">
        <f>HYPERLINK("http://slimages.macys.com/is/image/MCY/13289220 ")</f>
        <v xml:space="preserve">http://slimages.macys.com/is/image/MCY/13289220 </v>
      </c>
    </row>
    <row r="504" spans="1:12" ht="48" x14ac:dyDescent="0.25">
      <c r="A504" s="10" t="s">
        <v>1006</v>
      </c>
      <c r="B504" s="7" t="s">
        <v>514</v>
      </c>
      <c r="C504" s="8">
        <v>1</v>
      </c>
      <c r="D504" s="9">
        <v>18.5</v>
      </c>
      <c r="E504" s="9">
        <v>59</v>
      </c>
      <c r="F504" s="8" t="s">
        <v>515</v>
      </c>
      <c r="G504" s="7" t="s">
        <v>63</v>
      </c>
      <c r="H504" s="10" t="s">
        <v>442</v>
      </c>
      <c r="I504" s="9">
        <v>5.55</v>
      </c>
      <c r="J504" s="7" t="s">
        <v>475</v>
      </c>
      <c r="K504" s="7" t="s">
        <v>61</v>
      </c>
      <c r="L504" s="11" t="str">
        <f>HYPERLINK("http://slimages.macys.com/is/image/MCY/13289220 ")</f>
        <v xml:space="preserve">http://slimages.macys.com/is/image/MCY/13289220 </v>
      </c>
    </row>
    <row r="505" spans="1:12" ht="48" x14ac:dyDescent="0.25">
      <c r="A505" s="10" t="s">
        <v>582</v>
      </c>
      <c r="B505" s="7" t="s">
        <v>514</v>
      </c>
      <c r="C505" s="8">
        <v>1</v>
      </c>
      <c r="D505" s="9">
        <v>18.5</v>
      </c>
      <c r="E505" s="9">
        <v>59</v>
      </c>
      <c r="F505" s="8" t="s">
        <v>515</v>
      </c>
      <c r="G505" s="7" t="s">
        <v>63</v>
      </c>
      <c r="H505" s="10" t="s">
        <v>441</v>
      </c>
      <c r="I505" s="9">
        <v>5.55</v>
      </c>
      <c r="J505" s="7" t="s">
        <v>475</v>
      </c>
      <c r="K505" s="7" t="s">
        <v>61</v>
      </c>
      <c r="L505" s="11" t="str">
        <f>HYPERLINK("http://slimages.macys.com/is/image/MCY/13289220 ")</f>
        <v xml:space="preserve">http://slimages.macys.com/is/image/MCY/13289220 </v>
      </c>
    </row>
    <row r="506" spans="1:12" ht="48" x14ac:dyDescent="0.25">
      <c r="A506" s="10" t="s">
        <v>1005</v>
      </c>
      <c r="B506" s="7" t="s">
        <v>139</v>
      </c>
      <c r="C506" s="8">
        <v>1</v>
      </c>
      <c r="D506" s="9">
        <v>75.599999999999994</v>
      </c>
      <c r="E506" s="9">
        <v>189</v>
      </c>
      <c r="F506" s="8">
        <v>8160208</v>
      </c>
      <c r="G506" s="7" t="s">
        <v>24</v>
      </c>
      <c r="H506" s="10" t="s">
        <v>25</v>
      </c>
      <c r="I506" s="9">
        <v>22.68</v>
      </c>
      <c r="J506" s="7" t="s">
        <v>54</v>
      </c>
      <c r="K506" s="7" t="s">
        <v>61</v>
      </c>
      <c r="L506" s="11" t="str">
        <f>HYPERLINK("http://slimages.macys.com/is/image/MCY/13754990 ")</f>
        <v xml:space="preserve">http://slimages.macys.com/is/image/MCY/13754990 </v>
      </c>
    </row>
    <row r="507" spans="1:12" ht="48" x14ac:dyDescent="0.25">
      <c r="A507" s="10" t="s">
        <v>1004</v>
      </c>
      <c r="B507" s="7" t="s">
        <v>1003</v>
      </c>
      <c r="C507" s="8">
        <v>1</v>
      </c>
      <c r="D507" s="9">
        <v>50</v>
      </c>
      <c r="E507" s="9">
        <v>129</v>
      </c>
      <c r="F507" s="8" t="s">
        <v>1002</v>
      </c>
      <c r="G507" s="7" t="s">
        <v>184</v>
      </c>
      <c r="H507" s="10" t="s">
        <v>57</v>
      </c>
      <c r="I507" s="9">
        <v>15</v>
      </c>
      <c r="J507" s="7" t="s">
        <v>43</v>
      </c>
      <c r="K507" s="7" t="s">
        <v>61</v>
      </c>
      <c r="L507" s="11" t="str">
        <f>HYPERLINK("http://slimages.macys.com/is/image/MCY/15330300 ")</f>
        <v xml:space="preserve">http://slimages.macys.com/is/image/MCY/15330300 </v>
      </c>
    </row>
    <row r="508" spans="1:12" ht="48" x14ac:dyDescent="0.25">
      <c r="A508" s="10" t="s">
        <v>1001</v>
      </c>
      <c r="B508" s="7" t="s">
        <v>1000</v>
      </c>
      <c r="C508" s="8">
        <v>1</v>
      </c>
      <c r="D508" s="9">
        <v>94.75</v>
      </c>
      <c r="E508" s="9">
        <v>239</v>
      </c>
      <c r="F508" s="8" t="s">
        <v>999</v>
      </c>
      <c r="G508" s="7" t="s">
        <v>248</v>
      </c>
      <c r="H508" s="10"/>
      <c r="I508" s="9">
        <v>28.425000000000001</v>
      </c>
      <c r="J508" s="7" t="s">
        <v>65</v>
      </c>
      <c r="K508" s="7" t="s">
        <v>493</v>
      </c>
      <c r="L508" s="11" t="str">
        <f>HYPERLINK("http://slimages.macys.com/is/image/MCY/15247608 ")</f>
        <v xml:space="preserve">http://slimages.macys.com/is/image/MCY/15247608 </v>
      </c>
    </row>
    <row r="509" spans="1:12" ht="60" x14ac:dyDescent="0.25">
      <c r="A509" s="10" t="s">
        <v>310</v>
      </c>
      <c r="B509" s="7" t="s">
        <v>307</v>
      </c>
      <c r="C509" s="8">
        <v>1</v>
      </c>
      <c r="D509" s="9">
        <v>48.65</v>
      </c>
      <c r="E509" s="9">
        <v>139</v>
      </c>
      <c r="F509" s="8" t="s">
        <v>308</v>
      </c>
      <c r="G509" s="7" t="s">
        <v>27</v>
      </c>
      <c r="H509" s="10" t="s">
        <v>212</v>
      </c>
      <c r="I509" s="9">
        <v>14.595000000000001</v>
      </c>
      <c r="J509" s="7" t="s">
        <v>79</v>
      </c>
      <c r="K509" s="7" t="s">
        <v>309</v>
      </c>
      <c r="L509" s="11" t="str">
        <f>HYPERLINK("http://slimages.macys.com/is/image/MCY/10475086 ")</f>
        <v xml:space="preserve">http://slimages.macys.com/is/image/MCY/10475086 </v>
      </c>
    </row>
    <row r="510" spans="1:12" ht="60" x14ac:dyDescent="0.25">
      <c r="A510" s="10" t="s">
        <v>670</v>
      </c>
      <c r="B510" s="7" t="s">
        <v>307</v>
      </c>
      <c r="C510" s="8">
        <v>2</v>
      </c>
      <c r="D510" s="9">
        <v>48.65</v>
      </c>
      <c r="E510" s="9">
        <v>139</v>
      </c>
      <c r="F510" s="8" t="s">
        <v>308</v>
      </c>
      <c r="G510" s="7" t="s">
        <v>27</v>
      </c>
      <c r="H510" s="10" t="s">
        <v>132</v>
      </c>
      <c r="I510" s="9">
        <v>14.595000000000001</v>
      </c>
      <c r="J510" s="7" t="s">
        <v>79</v>
      </c>
      <c r="K510" s="7" t="s">
        <v>309</v>
      </c>
      <c r="L510" s="11" t="str">
        <f>HYPERLINK("http://slimages.macys.com/is/image/MCY/10475086 ")</f>
        <v xml:space="preserve">http://slimages.macys.com/is/image/MCY/10475086 </v>
      </c>
    </row>
    <row r="511" spans="1:12" ht="60" x14ac:dyDescent="0.25">
      <c r="A511" s="10" t="s">
        <v>998</v>
      </c>
      <c r="B511" s="7" t="s">
        <v>307</v>
      </c>
      <c r="C511" s="8">
        <v>2</v>
      </c>
      <c r="D511" s="9">
        <v>48.65</v>
      </c>
      <c r="E511" s="9">
        <v>139</v>
      </c>
      <c r="F511" s="8" t="s">
        <v>308</v>
      </c>
      <c r="G511" s="7" t="s">
        <v>27</v>
      </c>
      <c r="H511" s="10" t="s">
        <v>78</v>
      </c>
      <c r="I511" s="9">
        <v>14.595000000000001</v>
      </c>
      <c r="J511" s="7" t="s">
        <v>79</v>
      </c>
      <c r="K511" s="7" t="s">
        <v>309</v>
      </c>
      <c r="L511" s="11" t="str">
        <f>HYPERLINK("http://slimages.macys.com/is/image/MCY/10475086 ")</f>
        <v xml:space="preserve">http://slimages.macys.com/is/image/MCY/10475086 </v>
      </c>
    </row>
    <row r="512" spans="1:12" ht="48" x14ac:dyDescent="0.25">
      <c r="A512" s="10" t="s">
        <v>997</v>
      </c>
      <c r="B512" s="7" t="s">
        <v>179</v>
      </c>
      <c r="C512" s="8">
        <v>1</v>
      </c>
      <c r="D512" s="9">
        <v>69</v>
      </c>
      <c r="E512" s="9">
        <v>149</v>
      </c>
      <c r="F512" s="8" t="s">
        <v>180</v>
      </c>
      <c r="G512" s="7" t="s">
        <v>181</v>
      </c>
      <c r="H512" s="10" t="s">
        <v>28</v>
      </c>
      <c r="I512" s="9">
        <v>20.7</v>
      </c>
      <c r="J512" s="7" t="s">
        <v>118</v>
      </c>
      <c r="K512" s="7" t="s">
        <v>52</v>
      </c>
      <c r="L512" s="11" t="str">
        <f>HYPERLINK("http://slimages.macys.com/is/image/MCY/15071028 ")</f>
        <v xml:space="preserve">http://slimages.macys.com/is/image/MCY/15071028 </v>
      </c>
    </row>
    <row r="513" spans="1:12" ht="48" x14ac:dyDescent="0.25">
      <c r="A513" s="10" t="s">
        <v>996</v>
      </c>
      <c r="B513" s="7" t="s">
        <v>179</v>
      </c>
      <c r="C513" s="8">
        <v>1</v>
      </c>
      <c r="D513" s="9">
        <v>63.33</v>
      </c>
      <c r="E513" s="9">
        <v>149</v>
      </c>
      <c r="F513" s="8" t="s">
        <v>180</v>
      </c>
      <c r="G513" s="7" t="s">
        <v>119</v>
      </c>
      <c r="H513" s="10" t="s">
        <v>31</v>
      </c>
      <c r="I513" s="9">
        <v>18.998999999999999</v>
      </c>
      <c r="J513" s="7" t="s">
        <v>118</v>
      </c>
      <c r="K513" s="7" t="s">
        <v>52</v>
      </c>
      <c r="L513" s="11" t="str">
        <f>HYPERLINK("http://slimages.macys.com/is/image/MCY/15071028 ")</f>
        <v xml:space="preserve">http://slimages.macys.com/is/image/MCY/15071028 </v>
      </c>
    </row>
    <row r="514" spans="1:12" ht="48" x14ac:dyDescent="0.25">
      <c r="A514" s="10" t="s">
        <v>995</v>
      </c>
      <c r="B514" s="7" t="s">
        <v>179</v>
      </c>
      <c r="C514" s="8">
        <v>1</v>
      </c>
      <c r="D514" s="9">
        <v>63</v>
      </c>
      <c r="E514" s="9">
        <v>149</v>
      </c>
      <c r="F514" s="8" t="s">
        <v>180</v>
      </c>
      <c r="G514" s="7" t="s">
        <v>27</v>
      </c>
      <c r="H514" s="10" t="s">
        <v>83</v>
      </c>
      <c r="I514" s="9">
        <v>18.899999999999999</v>
      </c>
      <c r="J514" s="7" t="s">
        <v>118</v>
      </c>
      <c r="K514" s="7" t="s">
        <v>46</v>
      </c>
      <c r="L514" s="11" t="str">
        <f>HYPERLINK("http://slimages.macys.com/is/image/MCY/14514053 ")</f>
        <v xml:space="preserve">http://slimages.macys.com/is/image/MCY/14514053 </v>
      </c>
    </row>
    <row r="515" spans="1:12" ht="48" x14ac:dyDescent="0.25">
      <c r="A515" s="10" t="s">
        <v>994</v>
      </c>
      <c r="B515" s="7" t="s">
        <v>179</v>
      </c>
      <c r="C515" s="8">
        <v>1</v>
      </c>
      <c r="D515" s="9">
        <v>63</v>
      </c>
      <c r="E515" s="9">
        <v>149</v>
      </c>
      <c r="F515" s="8" t="s">
        <v>180</v>
      </c>
      <c r="G515" s="7" t="s">
        <v>27</v>
      </c>
      <c r="H515" s="10" t="s">
        <v>993</v>
      </c>
      <c r="I515" s="9">
        <v>18.899999999999999</v>
      </c>
      <c r="J515" s="7" t="s">
        <v>118</v>
      </c>
      <c r="K515" s="7" t="s">
        <v>46</v>
      </c>
      <c r="L515" s="11" t="str">
        <f>HYPERLINK("http://slimages.macys.com/is/image/MCY/14514053 ")</f>
        <v xml:space="preserve">http://slimages.macys.com/is/image/MCY/14514053 </v>
      </c>
    </row>
    <row r="516" spans="1:12" ht="72" x14ac:dyDescent="0.25">
      <c r="A516" s="10" t="s">
        <v>992</v>
      </c>
      <c r="B516" s="7" t="s">
        <v>317</v>
      </c>
      <c r="C516" s="8">
        <v>1</v>
      </c>
      <c r="D516" s="9">
        <v>47.6</v>
      </c>
      <c r="E516" s="9">
        <v>119</v>
      </c>
      <c r="F516" s="8" t="s">
        <v>318</v>
      </c>
      <c r="G516" s="7" t="s">
        <v>27</v>
      </c>
      <c r="H516" s="10" t="s">
        <v>62</v>
      </c>
      <c r="I516" s="9">
        <v>14.28</v>
      </c>
      <c r="J516" s="7" t="s">
        <v>183</v>
      </c>
      <c r="K516" s="7" t="s">
        <v>319</v>
      </c>
      <c r="L516" s="11" t="str">
        <f>HYPERLINK("http://slimages.macys.com/is/image/MCY/15353767 ")</f>
        <v xml:space="preserve">http://slimages.macys.com/is/image/MCY/15353767 </v>
      </c>
    </row>
    <row r="517" spans="1:12" ht="72" x14ac:dyDescent="0.25">
      <c r="A517" s="10" t="s">
        <v>991</v>
      </c>
      <c r="B517" s="7" t="s">
        <v>990</v>
      </c>
      <c r="C517" s="8">
        <v>1</v>
      </c>
      <c r="D517" s="9">
        <v>55.3</v>
      </c>
      <c r="E517" s="9">
        <v>158</v>
      </c>
      <c r="F517" s="8" t="s">
        <v>989</v>
      </c>
      <c r="G517" s="7" t="s">
        <v>211</v>
      </c>
      <c r="H517" s="10" t="s">
        <v>31</v>
      </c>
      <c r="I517" s="9">
        <v>16.59</v>
      </c>
      <c r="J517" s="7" t="s">
        <v>79</v>
      </c>
      <c r="K517" s="7" t="s">
        <v>988</v>
      </c>
      <c r="L517" s="11" t="str">
        <f>HYPERLINK("http://slimages.macys.com/is/image/MCY/14863171 ")</f>
        <v xml:space="preserve">http://slimages.macys.com/is/image/MCY/14863171 </v>
      </c>
    </row>
    <row r="518" spans="1:12" ht="72" x14ac:dyDescent="0.25">
      <c r="A518" s="10" t="s">
        <v>987</v>
      </c>
      <c r="B518" s="7" t="s">
        <v>630</v>
      </c>
      <c r="C518" s="8">
        <v>1</v>
      </c>
      <c r="D518" s="9">
        <v>38.700000000000003</v>
      </c>
      <c r="E518" s="9">
        <v>129</v>
      </c>
      <c r="F518" s="8" t="s">
        <v>629</v>
      </c>
      <c r="G518" s="7" t="s">
        <v>27</v>
      </c>
      <c r="H518" s="10" t="s">
        <v>28</v>
      </c>
      <c r="I518" s="9">
        <v>11.61</v>
      </c>
      <c r="J518" s="7" t="s">
        <v>249</v>
      </c>
      <c r="K518" s="7" t="s">
        <v>628</v>
      </c>
      <c r="L518" s="11" t="str">
        <f>HYPERLINK("http://slimages.macys.com/is/image/MCY/12347142 ")</f>
        <v xml:space="preserve">http://slimages.macys.com/is/image/MCY/12347142 </v>
      </c>
    </row>
    <row r="519" spans="1:12" ht="48" x14ac:dyDescent="0.25">
      <c r="A519" s="10" t="s">
        <v>320</v>
      </c>
      <c r="B519" s="7" t="s">
        <v>312</v>
      </c>
      <c r="C519" s="8">
        <v>1</v>
      </c>
      <c r="D519" s="9">
        <v>47.6</v>
      </c>
      <c r="E519" s="9">
        <v>119</v>
      </c>
      <c r="F519" s="8" t="s">
        <v>313</v>
      </c>
      <c r="G519" s="7" t="s">
        <v>202</v>
      </c>
      <c r="H519" s="10" t="s">
        <v>30</v>
      </c>
      <c r="I519" s="9">
        <v>14.28</v>
      </c>
      <c r="J519" s="7" t="s">
        <v>183</v>
      </c>
      <c r="K519" s="7" t="s">
        <v>268</v>
      </c>
      <c r="L519" s="11" t="str">
        <f>HYPERLINK("http://slimages.macys.com/is/image/MCY/15353865 ")</f>
        <v xml:space="preserve">http://slimages.macys.com/is/image/MCY/15353865 </v>
      </c>
    </row>
    <row r="520" spans="1:12" ht="48" x14ac:dyDescent="0.25">
      <c r="A520" s="10" t="s">
        <v>986</v>
      </c>
      <c r="B520" s="7" t="s">
        <v>312</v>
      </c>
      <c r="C520" s="8">
        <v>1</v>
      </c>
      <c r="D520" s="9">
        <v>47.6</v>
      </c>
      <c r="E520" s="9">
        <v>119</v>
      </c>
      <c r="F520" s="8" t="s">
        <v>313</v>
      </c>
      <c r="G520" s="7" t="s">
        <v>202</v>
      </c>
      <c r="H520" s="10" t="s">
        <v>62</v>
      </c>
      <c r="I520" s="9">
        <v>14.28</v>
      </c>
      <c r="J520" s="7" t="s">
        <v>183</v>
      </c>
      <c r="K520" s="7" t="s">
        <v>268</v>
      </c>
      <c r="L520" s="11" t="str">
        <f>HYPERLINK("http://slimages.macys.com/is/image/MCY/15353865 ")</f>
        <v xml:space="preserve">http://slimages.macys.com/is/image/MCY/15353865 </v>
      </c>
    </row>
    <row r="521" spans="1:12" ht="48" x14ac:dyDescent="0.25">
      <c r="A521" s="10" t="s">
        <v>985</v>
      </c>
      <c r="B521" s="7" t="s">
        <v>312</v>
      </c>
      <c r="C521" s="8">
        <v>2</v>
      </c>
      <c r="D521" s="9">
        <v>47.6</v>
      </c>
      <c r="E521" s="9">
        <v>119</v>
      </c>
      <c r="F521" s="8" t="s">
        <v>313</v>
      </c>
      <c r="G521" s="7" t="s">
        <v>202</v>
      </c>
      <c r="H521" s="10" t="s">
        <v>35</v>
      </c>
      <c r="I521" s="9">
        <v>14.28</v>
      </c>
      <c r="J521" s="7" t="s">
        <v>183</v>
      </c>
      <c r="K521" s="7" t="s">
        <v>268</v>
      </c>
      <c r="L521" s="11" t="str">
        <f>HYPERLINK("http://slimages.macys.com/is/image/MCY/15353865 ")</f>
        <v xml:space="preserve">http://slimages.macys.com/is/image/MCY/15353865 </v>
      </c>
    </row>
    <row r="522" spans="1:12" ht="48" x14ac:dyDescent="0.25">
      <c r="A522" s="10" t="s">
        <v>984</v>
      </c>
      <c r="B522" s="7" t="s">
        <v>312</v>
      </c>
      <c r="C522" s="8">
        <v>1</v>
      </c>
      <c r="D522" s="9">
        <v>47.6</v>
      </c>
      <c r="E522" s="9">
        <v>119</v>
      </c>
      <c r="F522" s="8" t="s">
        <v>313</v>
      </c>
      <c r="G522" s="7" t="s">
        <v>202</v>
      </c>
      <c r="H522" s="10" t="s">
        <v>53</v>
      </c>
      <c r="I522" s="9">
        <v>14.28</v>
      </c>
      <c r="J522" s="7" t="s">
        <v>183</v>
      </c>
      <c r="K522" s="7" t="s">
        <v>268</v>
      </c>
      <c r="L522" s="11" t="str">
        <f>HYPERLINK("http://slimages.macys.com/is/image/MCY/15353865 ")</f>
        <v xml:space="preserve">http://slimages.macys.com/is/image/MCY/15353865 </v>
      </c>
    </row>
    <row r="523" spans="1:12" ht="48" x14ac:dyDescent="0.25">
      <c r="A523" s="10" t="s">
        <v>983</v>
      </c>
      <c r="B523" s="7" t="s">
        <v>662</v>
      </c>
      <c r="C523" s="8">
        <v>1</v>
      </c>
      <c r="D523" s="9">
        <v>46</v>
      </c>
      <c r="E523" s="9">
        <v>99.98</v>
      </c>
      <c r="F523" s="8" t="s">
        <v>661</v>
      </c>
      <c r="G523" s="7" t="s">
        <v>27</v>
      </c>
      <c r="H523" s="10" t="s">
        <v>185</v>
      </c>
      <c r="I523" s="9">
        <v>13.8</v>
      </c>
      <c r="J523" s="7" t="s">
        <v>187</v>
      </c>
      <c r="K523" s="7" t="s">
        <v>219</v>
      </c>
      <c r="L523" s="11" t="str">
        <f>HYPERLINK("http://slimages.macys.com/is/image/MCY/9939511 ")</f>
        <v xml:space="preserve">http://slimages.macys.com/is/image/MCY/9939511 </v>
      </c>
    </row>
    <row r="524" spans="1:12" ht="48" x14ac:dyDescent="0.25">
      <c r="A524" s="10" t="s">
        <v>982</v>
      </c>
      <c r="B524" s="7" t="s">
        <v>244</v>
      </c>
      <c r="C524" s="8">
        <v>1</v>
      </c>
      <c r="D524" s="9">
        <v>56.4</v>
      </c>
      <c r="E524" s="9">
        <v>188</v>
      </c>
      <c r="F524" s="8" t="s">
        <v>245</v>
      </c>
      <c r="G524" s="7" t="s">
        <v>246</v>
      </c>
      <c r="H524" s="10" t="s">
        <v>35</v>
      </c>
      <c r="I524" s="9">
        <v>16.920000000000002</v>
      </c>
      <c r="J524" s="7" t="s">
        <v>79</v>
      </c>
      <c r="K524" s="7" t="s">
        <v>247</v>
      </c>
      <c r="L524" s="11" t="str">
        <f>HYPERLINK("http://slimages.macys.com/is/image/MCY/15146265 ")</f>
        <v xml:space="preserve">http://slimages.macys.com/is/image/MCY/15146265 </v>
      </c>
    </row>
    <row r="525" spans="1:12" ht="48" x14ac:dyDescent="0.25">
      <c r="A525" s="10" t="s">
        <v>981</v>
      </c>
      <c r="B525" s="7" t="s">
        <v>980</v>
      </c>
      <c r="C525" s="8">
        <v>1</v>
      </c>
      <c r="D525" s="9">
        <v>41.6</v>
      </c>
      <c r="E525" s="9">
        <v>104</v>
      </c>
      <c r="F525" s="8" t="s">
        <v>979</v>
      </c>
      <c r="G525" s="7" t="s">
        <v>27</v>
      </c>
      <c r="H525" s="10" t="s">
        <v>185</v>
      </c>
      <c r="I525" s="9">
        <v>12.48</v>
      </c>
      <c r="J525" s="7" t="s">
        <v>187</v>
      </c>
      <c r="K525" s="7" t="s">
        <v>219</v>
      </c>
      <c r="L525" s="11" t="str">
        <f>HYPERLINK("http://slimages.macys.com/is/image/MCY/15349319 ")</f>
        <v xml:space="preserve">http://slimages.macys.com/is/image/MCY/15349319 </v>
      </c>
    </row>
    <row r="526" spans="1:12" ht="48" x14ac:dyDescent="0.25">
      <c r="A526" s="10" t="s">
        <v>978</v>
      </c>
      <c r="B526" s="7" t="s">
        <v>977</v>
      </c>
      <c r="C526" s="8">
        <v>1</v>
      </c>
      <c r="D526" s="9">
        <v>53.6</v>
      </c>
      <c r="E526" s="9">
        <v>134</v>
      </c>
      <c r="F526" s="8" t="s">
        <v>976</v>
      </c>
      <c r="G526" s="7" t="s">
        <v>27</v>
      </c>
      <c r="H526" s="10" t="s">
        <v>53</v>
      </c>
      <c r="I526" s="9">
        <v>16.079999999999998</v>
      </c>
      <c r="J526" s="7" t="s">
        <v>183</v>
      </c>
      <c r="K526" s="7" t="s">
        <v>975</v>
      </c>
      <c r="L526" s="11" t="str">
        <f>HYPERLINK("http://slimages.macys.com/is/image/MCY/15353904 ")</f>
        <v xml:space="preserve">http://slimages.macys.com/is/image/MCY/15353904 </v>
      </c>
    </row>
    <row r="527" spans="1:12" ht="48" x14ac:dyDescent="0.25">
      <c r="A527" s="10" t="s">
        <v>974</v>
      </c>
      <c r="B527" s="7" t="s">
        <v>973</v>
      </c>
      <c r="C527" s="8">
        <v>1</v>
      </c>
      <c r="D527" s="9">
        <v>70.5</v>
      </c>
      <c r="E527" s="9">
        <v>188</v>
      </c>
      <c r="F527" s="8" t="s">
        <v>972</v>
      </c>
      <c r="G527" s="7" t="s">
        <v>106</v>
      </c>
      <c r="H527" s="10" t="s">
        <v>53</v>
      </c>
      <c r="I527" s="9">
        <v>21.15</v>
      </c>
      <c r="J527" s="7" t="s">
        <v>43</v>
      </c>
      <c r="K527" s="7" t="s">
        <v>493</v>
      </c>
      <c r="L527" s="11" t="str">
        <f>HYPERLINK("http://slimages.macys.com/is/image/MCY/14763762 ")</f>
        <v xml:space="preserve">http://slimages.macys.com/is/image/MCY/14763762 </v>
      </c>
    </row>
    <row r="528" spans="1:12" ht="48" x14ac:dyDescent="0.25">
      <c r="A528" s="10" t="s">
        <v>971</v>
      </c>
      <c r="B528" s="7" t="s">
        <v>970</v>
      </c>
      <c r="C528" s="8">
        <v>1</v>
      </c>
      <c r="D528" s="9">
        <v>51.8</v>
      </c>
      <c r="E528" s="9">
        <v>148</v>
      </c>
      <c r="F528" s="8" t="s">
        <v>969</v>
      </c>
      <c r="G528" s="7" t="s">
        <v>184</v>
      </c>
      <c r="H528" s="10" t="s">
        <v>57</v>
      </c>
      <c r="I528" s="9">
        <v>15.54</v>
      </c>
      <c r="J528" s="7" t="s">
        <v>182</v>
      </c>
      <c r="K528" s="7" t="s">
        <v>306</v>
      </c>
      <c r="L528" s="11" t="str">
        <f>HYPERLINK("http://slimages.macys.com/is/image/MCY/14980893 ")</f>
        <v xml:space="preserve">http://slimages.macys.com/is/image/MCY/14980893 </v>
      </c>
    </row>
    <row r="529" spans="1:12" ht="48" x14ac:dyDescent="0.25">
      <c r="A529" s="10" t="s">
        <v>299</v>
      </c>
      <c r="B529" s="7" t="s">
        <v>300</v>
      </c>
      <c r="C529" s="8">
        <v>1</v>
      </c>
      <c r="D529" s="9">
        <v>51.8</v>
      </c>
      <c r="E529" s="9">
        <v>148</v>
      </c>
      <c r="F529" s="8" t="s">
        <v>301</v>
      </c>
      <c r="G529" s="7" t="s">
        <v>211</v>
      </c>
      <c r="H529" s="10" t="s">
        <v>30</v>
      </c>
      <c r="I529" s="9">
        <v>15.54</v>
      </c>
      <c r="J529" s="7" t="s">
        <v>182</v>
      </c>
      <c r="K529" s="7" t="s">
        <v>302</v>
      </c>
      <c r="L529" s="11" t="str">
        <f>HYPERLINK("http://slimages.macys.com/is/image/MCY/14723487 ")</f>
        <v xml:space="preserve">http://slimages.macys.com/is/image/MCY/14723487 </v>
      </c>
    </row>
    <row r="530" spans="1:12" ht="48" x14ac:dyDescent="0.25">
      <c r="A530" s="10" t="s">
        <v>968</v>
      </c>
      <c r="B530" s="7" t="s">
        <v>967</v>
      </c>
      <c r="C530" s="8">
        <v>1</v>
      </c>
      <c r="D530" s="9">
        <v>65.8</v>
      </c>
      <c r="E530" s="9">
        <v>188</v>
      </c>
      <c r="F530" s="8" t="s">
        <v>966</v>
      </c>
      <c r="G530" s="7" t="s">
        <v>95</v>
      </c>
      <c r="H530" s="10" t="s">
        <v>35</v>
      </c>
      <c r="I530" s="9">
        <v>19.739999999999998</v>
      </c>
      <c r="J530" s="7" t="s">
        <v>54</v>
      </c>
      <c r="K530" s="7" t="s">
        <v>965</v>
      </c>
      <c r="L530" s="11" t="str">
        <f>HYPERLINK("http://slimages.macys.com/is/image/MCY/15187703 ")</f>
        <v xml:space="preserve">http://slimages.macys.com/is/image/MCY/15187703 </v>
      </c>
    </row>
    <row r="531" spans="1:12" ht="48" x14ac:dyDescent="0.25">
      <c r="A531" s="10" t="s">
        <v>964</v>
      </c>
      <c r="B531" s="7" t="s">
        <v>963</v>
      </c>
      <c r="C531" s="8">
        <v>1</v>
      </c>
      <c r="D531" s="9">
        <v>41.65</v>
      </c>
      <c r="E531" s="9">
        <v>119</v>
      </c>
      <c r="F531" s="8">
        <v>9133118</v>
      </c>
      <c r="G531" s="7" t="s">
        <v>37</v>
      </c>
      <c r="H531" s="10" t="s">
        <v>53</v>
      </c>
      <c r="I531" s="9">
        <v>12.494999999999999</v>
      </c>
      <c r="J531" s="7" t="s">
        <v>54</v>
      </c>
      <c r="K531" s="7" t="s">
        <v>52</v>
      </c>
      <c r="L531" s="11" t="str">
        <f>HYPERLINK("http://slimages.macys.com/is/image/MCY/15641547 ")</f>
        <v xml:space="preserve">http://slimages.macys.com/is/image/MCY/15641547 </v>
      </c>
    </row>
    <row r="532" spans="1:12" ht="48" x14ac:dyDescent="0.25">
      <c r="A532" s="10" t="s">
        <v>577</v>
      </c>
      <c r="B532" s="7" t="s">
        <v>576</v>
      </c>
      <c r="C532" s="8">
        <v>2</v>
      </c>
      <c r="D532" s="9">
        <v>18.399999999999999</v>
      </c>
      <c r="E532" s="9">
        <v>59</v>
      </c>
      <c r="F532" s="8" t="s">
        <v>575</v>
      </c>
      <c r="G532" s="7" t="s">
        <v>45</v>
      </c>
      <c r="H532" s="10"/>
      <c r="I532" s="9">
        <v>5.52</v>
      </c>
      <c r="J532" s="7" t="s">
        <v>382</v>
      </c>
      <c r="K532" s="7" t="s">
        <v>61</v>
      </c>
      <c r="L532" s="11" t="str">
        <f>HYPERLINK("http://slimages.macys.com/is/image/MCY/12386711 ")</f>
        <v xml:space="preserve">http://slimages.macys.com/is/image/MCY/12386711 </v>
      </c>
    </row>
    <row r="533" spans="1:12" ht="60" x14ac:dyDescent="0.25">
      <c r="A533" s="10" t="s">
        <v>962</v>
      </c>
      <c r="B533" s="7" t="s">
        <v>961</v>
      </c>
      <c r="C533" s="8">
        <v>1</v>
      </c>
      <c r="D533" s="9">
        <v>19.5</v>
      </c>
      <c r="E533" s="9">
        <v>59</v>
      </c>
      <c r="F533" s="8" t="s">
        <v>960</v>
      </c>
      <c r="G533" s="7" t="s">
        <v>63</v>
      </c>
      <c r="H533" s="10"/>
      <c r="I533" s="9">
        <v>5.85</v>
      </c>
      <c r="J533" s="7" t="s">
        <v>475</v>
      </c>
      <c r="K533" s="7" t="s">
        <v>959</v>
      </c>
      <c r="L533" s="11" t="str">
        <f>HYPERLINK("http://slimages.macys.com/is/image/MCY/15001067 ")</f>
        <v xml:space="preserve">http://slimages.macys.com/is/image/MCY/15001067 </v>
      </c>
    </row>
    <row r="534" spans="1:12" ht="48" x14ac:dyDescent="0.25">
      <c r="A534" s="10" t="s">
        <v>958</v>
      </c>
      <c r="B534" s="7" t="s">
        <v>957</v>
      </c>
      <c r="C534" s="8">
        <v>1</v>
      </c>
      <c r="D534" s="9">
        <v>65.8</v>
      </c>
      <c r="E534" s="9">
        <v>188</v>
      </c>
      <c r="F534" s="8" t="s">
        <v>956</v>
      </c>
      <c r="G534" s="7" t="s">
        <v>181</v>
      </c>
      <c r="H534" s="10" t="s">
        <v>57</v>
      </c>
      <c r="I534" s="9">
        <v>19.739999999999998</v>
      </c>
      <c r="J534" s="7" t="s">
        <v>54</v>
      </c>
      <c r="K534" s="7" t="s">
        <v>46</v>
      </c>
      <c r="L534" s="11" t="str">
        <f>HYPERLINK("http://slimages.macys.com/is/image/MCY/14542658 ")</f>
        <v xml:space="preserve">http://slimages.macys.com/is/image/MCY/14542658 </v>
      </c>
    </row>
    <row r="535" spans="1:12" ht="48" x14ac:dyDescent="0.25">
      <c r="A535" s="10" t="s">
        <v>955</v>
      </c>
      <c r="B535" s="7" t="s">
        <v>954</v>
      </c>
      <c r="C535" s="8">
        <v>1</v>
      </c>
      <c r="D535" s="9">
        <v>26</v>
      </c>
      <c r="E535" s="9">
        <v>79</v>
      </c>
      <c r="F535" s="8" t="s">
        <v>953</v>
      </c>
      <c r="G535" s="7" t="s">
        <v>45</v>
      </c>
      <c r="H535" s="10" t="s">
        <v>419</v>
      </c>
      <c r="I535" s="9">
        <v>7.8</v>
      </c>
      <c r="J535" s="7" t="s">
        <v>382</v>
      </c>
      <c r="K535" s="7" t="s">
        <v>46</v>
      </c>
      <c r="L535" s="11" t="str">
        <f>HYPERLINK("http://slimages.macys.com/is/image/MCY/15668981 ")</f>
        <v xml:space="preserve">http://slimages.macys.com/is/image/MCY/15668981 </v>
      </c>
    </row>
    <row r="536" spans="1:12" ht="48" x14ac:dyDescent="0.25">
      <c r="A536" s="10" t="s">
        <v>952</v>
      </c>
      <c r="B536" s="7" t="s">
        <v>950</v>
      </c>
      <c r="C536" s="8">
        <v>1</v>
      </c>
      <c r="D536" s="9">
        <v>54</v>
      </c>
      <c r="E536" s="9">
        <v>159</v>
      </c>
      <c r="F536" s="8" t="s">
        <v>949</v>
      </c>
      <c r="G536" s="7" t="s">
        <v>63</v>
      </c>
      <c r="H536" s="10" t="s">
        <v>454</v>
      </c>
      <c r="I536" s="9">
        <v>16.2</v>
      </c>
      <c r="J536" s="7" t="s">
        <v>382</v>
      </c>
      <c r="K536" s="7" t="s">
        <v>72</v>
      </c>
      <c r="L536" s="11" t="str">
        <f>HYPERLINK("http://slimages.macys.com/is/image/MCY/15210372 ")</f>
        <v xml:space="preserve">http://slimages.macys.com/is/image/MCY/15210372 </v>
      </c>
    </row>
    <row r="537" spans="1:12" ht="48" x14ac:dyDescent="0.25">
      <c r="A537" s="10" t="s">
        <v>951</v>
      </c>
      <c r="B537" s="7" t="s">
        <v>950</v>
      </c>
      <c r="C537" s="8">
        <v>1</v>
      </c>
      <c r="D537" s="9">
        <v>54</v>
      </c>
      <c r="E537" s="9">
        <v>159</v>
      </c>
      <c r="F537" s="8" t="s">
        <v>949</v>
      </c>
      <c r="G537" s="7" t="s">
        <v>63</v>
      </c>
      <c r="H537" s="10" t="s">
        <v>419</v>
      </c>
      <c r="I537" s="9">
        <v>16.2</v>
      </c>
      <c r="J537" s="7" t="s">
        <v>382</v>
      </c>
      <c r="K537" s="7" t="s">
        <v>72</v>
      </c>
      <c r="L537" s="11" t="str">
        <f>HYPERLINK("http://slimages.macys.com/is/image/MCY/15210372 ")</f>
        <v xml:space="preserve">http://slimages.macys.com/is/image/MCY/15210372 </v>
      </c>
    </row>
    <row r="538" spans="1:12" ht="48" x14ac:dyDescent="0.25">
      <c r="A538" s="10" t="s">
        <v>948</v>
      </c>
      <c r="B538" s="7" t="s">
        <v>682</v>
      </c>
      <c r="C538" s="8">
        <v>1</v>
      </c>
      <c r="D538" s="9">
        <v>52</v>
      </c>
      <c r="E538" s="9">
        <v>129</v>
      </c>
      <c r="F538" s="8" t="s">
        <v>946</v>
      </c>
      <c r="G538" s="7" t="s">
        <v>37</v>
      </c>
      <c r="H538" s="10" t="s">
        <v>185</v>
      </c>
      <c r="I538" s="9">
        <v>15.6</v>
      </c>
      <c r="J538" s="7" t="s">
        <v>187</v>
      </c>
      <c r="K538" s="7" t="s">
        <v>61</v>
      </c>
      <c r="L538" s="11" t="str">
        <f>HYPERLINK("http://slimages.macys.com/is/image/MCY/15448330 ")</f>
        <v xml:space="preserve">http://slimages.macys.com/is/image/MCY/15448330 </v>
      </c>
    </row>
    <row r="539" spans="1:12" ht="48" x14ac:dyDescent="0.25">
      <c r="A539" s="10" t="s">
        <v>947</v>
      </c>
      <c r="B539" s="7" t="s">
        <v>682</v>
      </c>
      <c r="C539" s="8">
        <v>1</v>
      </c>
      <c r="D539" s="9">
        <v>52</v>
      </c>
      <c r="E539" s="9">
        <v>129</v>
      </c>
      <c r="F539" s="8" t="s">
        <v>946</v>
      </c>
      <c r="G539" s="7" t="s">
        <v>37</v>
      </c>
      <c r="H539" s="10" t="s">
        <v>236</v>
      </c>
      <c r="I539" s="9">
        <v>15.6</v>
      </c>
      <c r="J539" s="7" t="s">
        <v>187</v>
      </c>
      <c r="K539" s="7" t="s">
        <v>61</v>
      </c>
      <c r="L539" s="11" t="str">
        <f>HYPERLINK("http://slimages.macys.com/is/image/MCY/15448330 ")</f>
        <v xml:space="preserve">http://slimages.macys.com/is/image/MCY/15448330 </v>
      </c>
    </row>
    <row r="540" spans="1:12" ht="48" x14ac:dyDescent="0.25">
      <c r="A540" s="10" t="s">
        <v>945</v>
      </c>
      <c r="B540" s="7" t="s">
        <v>260</v>
      </c>
      <c r="C540" s="8">
        <v>1</v>
      </c>
      <c r="D540" s="9">
        <v>55.6</v>
      </c>
      <c r="E540" s="9">
        <v>139</v>
      </c>
      <c r="F540" s="8" t="s">
        <v>261</v>
      </c>
      <c r="G540" s="7" t="s">
        <v>88</v>
      </c>
      <c r="H540" s="10" t="s">
        <v>186</v>
      </c>
      <c r="I540" s="9">
        <v>16.68</v>
      </c>
      <c r="J540" s="7" t="s">
        <v>187</v>
      </c>
      <c r="K540" s="7" t="s">
        <v>262</v>
      </c>
      <c r="L540" s="11" t="str">
        <f>HYPERLINK("http://slimages.macys.com/is/image/MCY/14023410 ")</f>
        <v xml:space="preserve">http://slimages.macys.com/is/image/MCY/14023410 </v>
      </c>
    </row>
    <row r="541" spans="1:12" ht="60" x14ac:dyDescent="0.25">
      <c r="A541" s="10" t="s">
        <v>169</v>
      </c>
      <c r="B541" s="7" t="s">
        <v>166</v>
      </c>
      <c r="C541" s="8">
        <v>1</v>
      </c>
      <c r="D541" s="9">
        <v>69.930000000000007</v>
      </c>
      <c r="E541" s="9">
        <v>189</v>
      </c>
      <c r="F541" s="8" t="s">
        <v>167</v>
      </c>
      <c r="G541" s="7" t="s">
        <v>37</v>
      </c>
      <c r="H541" s="10" t="s">
        <v>57</v>
      </c>
      <c r="I541" s="9">
        <v>20.978999999999999</v>
      </c>
      <c r="J541" s="7" t="s">
        <v>75</v>
      </c>
      <c r="K541" s="7" t="s">
        <v>168</v>
      </c>
      <c r="L541" s="11" t="str">
        <f>HYPERLINK("http://slimages.macys.com/is/image/MCY/14467127 ")</f>
        <v xml:space="preserve">http://slimages.macys.com/is/image/MCY/14467127 </v>
      </c>
    </row>
    <row r="542" spans="1:12" ht="60" x14ac:dyDescent="0.25">
      <c r="A542" s="10" t="s">
        <v>170</v>
      </c>
      <c r="B542" s="7" t="s">
        <v>166</v>
      </c>
      <c r="C542" s="8">
        <v>1</v>
      </c>
      <c r="D542" s="9">
        <v>69.930000000000007</v>
      </c>
      <c r="E542" s="9">
        <v>189</v>
      </c>
      <c r="F542" s="8" t="s">
        <v>167</v>
      </c>
      <c r="G542" s="7" t="s">
        <v>37</v>
      </c>
      <c r="H542" s="10" t="s">
        <v>30</v>
      </c>
      <c r="I542" s="9">
        <v>20.978999999999999</v>
      </c>
      <c r="J542" s="7" t="s">
        <v>75</v>
      </c>
      <c r="K542" s="7" t="s">
        <v>168</v>
      </c>
      <c r="L542" s="11" t="str">
        <f>HYPERLINK("http://slimages.macys.com/is/image/MCY/14467127 ")</f>
        <v xml:space="preserve">http://slimages.macys.com/is/image/MCY/14467127 </v>
      </c>
    </row>
    <row r="543" spans="1:12" ht="60" x14ac:dyDescent="0.25">
      <c r="A543" s="10" t="s">
        <v>944</v>
      </c>
      <c r="B543" s="7" t="s">
        <v>166</v>
      </c>
      <c r="C543" s="8">
        <v>1</v>
      </c>
      <c r="D543" s="9">
        <v>69.930000000000007</v>
      </c>
      <c r="E543" s="9">
        <v>189</v>
      </c>
      <c r="F543" s="8" t="s">
        <v>167</v>
      </c>
      <c r="G543" s="7" t="s">
        <v>37</v>
      </c>
      <c r="H543" s="10" t="s">
        <v>35</v>
      </c>
      <c r="I543" s="9">
        <v>20.978999999999999</v>
      </c>
      <c r="J543" s="7" t="s">
        <v>75</v>
      </c>
      <c r="K543" s="7" t="s">
        <v>168</v>
      </c>
      <c r="L543" s="11" t="str">
        <f>HYPERLINK("http://slimages.macys.com/is/image/MCY/14467127 ")</f>
        <v xml:space="preserve">http://slimages.macys.com/is/image/MCY/14467127 </v>
      </c>
    </row>
    <row r="544" spans="1:12" ht="60" x14ac:dyDescent="0.25">
      <c r="A544" s="10" t="s">
        <v>165</v>
      </c>
      <c r="B544" s="7" t="s">
        <v>166</v>
      </c>
      <c r="C544" s="8">
        <v>1</v>
      </c>
      <c r="D544" s="9">
        <v>69.930000000000007</v>
      </c>
      <c r="E544" s="9">
        <v>189</v>
      </c>
      <c r="F544" s="8" t="s">
        <v>167</v>
      </c>
      <c r="G544" s="7" t="s">
        <v>37</v>
      </c>
      <c r="H544" s="10" t="s">
        <v>25</v>
      </c>
      <c r="I544" s="9">
        <v>20.978999999999999</v>
      </c>
      <c r="J544" s="7" t="s">
        <v>75</v>
      </c>
      <c r="K544" s="7" t="s">
        <v>168</v>
      </c>
      <c r="L544" s="11" t="str">
        <f>HYPERLINK("http://slimages.macys.com/is/image/MCY/14467127 ")</f>
        <v xml:space="preserve">http://slimages.macys.com/is/image/MCY/14467127 </v>
      </c>
    </row>
    <row r="545" spans="1:12" ht="60" x14ac:dyDescent="0.25">
      <c r="A545" s="10" t="s">
        <v>171</v>
      </c>
      <c r="B545" s="7" t="s">
        <v>166</v>
      </c>
      <c r="C545" s="8">
        <v>1</v>
      </c>
      <c r="D545" s="9">
        <v>69.930000000000007</v>
      </c>
      <c r="E545" s="9">
        <v>189</v>
      </c>
      <c r="F545" s="8" t="s">
        <v>167</v>
      </c>
      <c r="G545" s="7" t="s">
        <v>37</v>
      </c>
      <c r="H545" s="10" t="s">
        <v>28</v>
      </c>
      <c r="I545" s="9">
        <v>20.978999999999999</v>
      </c>
      <c r="J545" s="7" t="s">
        <v>75</v>
      </c>
      <c r="K545" s="7" t="s">
        <v>168</v>
      </c>
      <c r="L545" s="11" t="str">
        <f>HYPERLINK("http://slimages.macys.com/is/image/MCY/14467127 ")</f>
        <v xml:space="preserve">http://slimages.macys.com/is/image/MCY/14467127 </v>
      </c>
    </row>
    <row r="546" spans="1:12" ht="48" x14ac:dyDescent="0.25">
      <c r="A546" s="10" t="s">
        <v>943</v>
      </c>
      <c r="B546" s="7" t="s">
        <v>341</v>
      </c>
      <c r="C546" s="8">
        <v>1</v>
      </c>
      <c r="D546" s="9">
        <v>43.6</v>
      </c>
      <c r="E546" s="9">
        <v>109</v>
      </c>
      <c r="F546" s="8" t="s">
        <v>342</v>
      </c>
      <c r="G546" s="7" t="s">
        <v>27</v>
      </c>
      <c r="H546" s="10" t="s">
        <v>729</v>
      </c>
      <c r="I546" s="9">
        <v>13.08</v>
      </c>
      <c r="J546" s="7" t="s">
        <v>187</v>
      </c>
      <c r="K546" s="7" t="s">
        <v>61</v>
      </c>
      <c r="L546" s="11" t="str">
        <f>HYPERLINK("http://slimages.macys.com/is/image/MCY/14980826 ")</f>
        <v xml:space="preserve">http://slimages.macys.com/is/image/MCY/14980826 </v>
      </c>
    </row>
    <row r="547" spans="1:12" ht="60" x14ac:dyDescent="0.25">
      <c r="A547" s="10" t="s">
        <v>942</v>
      </c>
      <c r="B547" s="7" t="s">
        <v>47</v>
      </c>
      <c r="C547" s="8">
        <v>1</v>
      </c>
      <c r="D547" s="9">
        <v>144</v>
      </c>
      <c r="E547" s="9">
        <v>395</v>
      </c>
      <c r="F547" s="8" t="s">
        <v>48</v>
      </c>
      <c r="G547" s="7" t="s">
        <v>49</v>
      </c>
      <c r="H547" s="10" t="s">
        <v>28</v>
      </c>
      <c r="I547" s="9">
        <v>43.2</v>
      </c>
      <c r="J547" s="7" t="s">
        <v>26</v>
      </c>
      <c r="K547" s="7" t="s">
        <v>50</v>
      </c>
      <c r="L547" s="11" t="str">
        <f>HYPERLINK("http://images.bloomingdales.com/is/image/BLM/10479256 ")</f>
        <v xml:space="preserve">http://images.bloomingdales.com/is/image/BLM/10479256 </v>
      </c>
    </row>
    <row r="548" spans="1:12" ht="84" x14ac:dyDescent="0.25">
      <c r="A548" s="10" t="s">
        <v>941</v>
      </c>
      <c r="B548" s="7" t="s">
        <v>940</v>
      </c>
      <c r="C548" s="8">
        <v>1</v>
      </c>
      <c r="D548" s="9">
        <v>51</v>
      </c>
      <c r="E548" s="9">
        <v>129</v>
      </c>
      <c r="F548" s="8">
        <v>21857</v>
      </c>
      <c r="G548" s="7" t="s">
        <v>335</v>
      </c>
      <c r="H548" s="10" t="s">
        <v>28</v>
      </c>
      <c r="I548" s="9">
        <v>15.3</v>
      </c>
      <c r="J548" s="7" t="s">
        <v>43</v>
      </c>
      <c r="K548" s="7" t="s">
        <v>939</v>
      </c>
      <c r="L548" s="11" t="str">
        <f>HYPERLINK("http://slimages.macys.com/is/image/MCY/15219612 ")</f>
        <v xml:space="preserve">http://slimages.macys.com/is/image/MCY/15219612 </v>
      </c>
    </row>
    <row r="549" spans="1:12" ht="48" x14ac:dyDescent="0.25">
      <c r="A549" s="10" t="s">
        <v>938</v>
      </c>
      <c r="B549" s="7" t="s">
        <v>539</v>
      </c>
      <c r="C549" s="8">
        <v>1</v>
      </c>
      <c r="D549" s="9">
        <v>15.9</v>
      </c>
      <c r="E549" s="9">
        <v>39.99</v>
      </c>
      <c r="F549" s="8" t="s">
        <v>540</v>
      </c>
      <c r="G549" s="7" t="s">
        <v>27</v>
      </c>
      <c r="H549" s="10" t="s">
        <v>82</v>
      </c>
      <c r="I549" s="9">
        <v>4.7699999999999996</v>
      </c>
      <c r="J549" s="7" t="s">
        <v>496</v>
      </c>
      <c r="K549" s="7" t="s">
        <v>61</v>
      </c>
      <c r="L549" s="11" t="str">
        <f>HYPERLINK("http://slimages.macys.com/is/image/MCY/14424463 ")</f>
        <v xml:space="preserve">http://slimages.macys.com/is/image/MCY/14424463 </v>
      </c>
    </row>
    <row r="550" spans="1:12" ht="48" x14ac:dyDescent="0.25">
      <c r="A550" s="10" t="s">
        <v>937</v>
      </c>
      <c r="B550" s="7" t="s">
        <v>935</v>
      </c>
      <c r="C550" s="8">
        <v>1</v>
      </c>
      <c r="D550" s="9">
        <v>34.299999999999997</v>
      </c>
      <c r="E550" s="9">
        <v>98</v>
      </c>
      <c r="F550" s="8" t="s">
        <v>934</v>
      </c>
      <c r="G550" s="7" t="s">
        <v>184</v>
      </c>
      <c r="H550" s="10" t="s">
        <v>236</v>
      </c>
      <c r="I550" s="9">
        <v>10.29</v>
      </c>
      <c r="J550" s="7" t="s">
        <v>187</v>
      </c>
      <c r="K550" s="7" t="s">
        <v>219</v>
      </c>
      <c r="L550" s="11" t="str">
        <f>HYPERLINK("http://slimages.macys.com/is/image/MCY/13938662 ")</f>
        <v xml:space="preserve">http://slimages.macys.com/is/image/MCY/13938662 </v>
      </c>
    </row>
    <row r="551" spans="1:12" ht="48" x14ac:dyDescent="0.25">
      <c r="A551" s="10" t="s">
        <v>936</v>
      </c>
      <c r="B551" s="7" t="s">
        <v>935</v>
      </c>
      <c r="C551" s="8">
        <v>1</v>
      </c>
      <c r="D551" s="9">
        <v>34.299999999999997</v>
      </c>
      <c r="E551" s="9">
        <v>98</v>
      </c>
      <c r="F551" s="8" t="s">
        <v>934</v>
      </c>
      <c r="G551" s="7" t="s">
        <v>184</v>
      </c>
      <c r="H551" s="10" t="s">
        <v>115</v>
      </c>
      <c r="I551" s="9">
        <v>10.29</v>
      </c>
      <c r="J551" s="7" t="s">
        <v>187</v>
      </c>
      <c r="K551" s="7" t="s">
        <v>219</v>
      </c>
      <c r="L551" s="11" t="str">
        <f>HYPERLINK("http://slimages.macys.com/is/image/MCY/13938662 ")</f>
        <v xml:space="preserve">http://slimages.macys.com/is/image/MCY/13938662 </v>
      </c>
    </row>
    <row r="552" spans="1:12" ht="48" x14ac:dyDescent="0.25">
      <c r="A552" s="10" t="s">
        <v>933</v>
      </c>
      <c r="B552" s="7" t="s">
        <v>393</v>
      </c>
      <c r="C552" s="8">
        <v>1</v>
      </c>
      <c r="D552" s="9">
        <v>38.4</v>
      </c>
      <c r="E552" s="9">
        <v>98</v>
      </c>
      <c r="F552" s="8" t="s">
        <v>394</v>
      </c>
      <c r="G552" s="7" t="s">
        <v>37</v>
      </c>
      <c r="H552" s="10" t="s">
        <v>25</v>
      </c>
      <c r="I552" s="9">
        <v>11.52</v>
      </c>
      <c r="J552" s="7" t="s">
        <v>79</v>
      </c>
      <c r="K552" s="7" t="s">
        <v>46</v>
      </c>
      <c r="L552" s="11" t="str">
        <f>HYPERLINK("http://slimages.macys.com/is/image/MCY/15295390 ")</f>
        <v xml:space="preserve">http://slimages.macys.com/is/image/MCY/15295390 </v>
      </c>
    </row>
    <row r="553" spans="1:12" ht="48" x14ac:dyDescent="0.25">
      <c r="A553" s="10" t="s">
        <v>932</v>
      </c>
      <c r="B553" s="7" t="s">
        <v>393</v>
      </c>
      <c r="C553" s="8">
        <v>1</v>
      </c>
      <c r="D553" s="9">
        <v>38.4</v>
      </c>
      <c r="E553" s="9">
        <v>98</v>
      </c>
      <c r="F553" s="8" t="s">
        <v>394</v>
      </c>
      <c r="G553" s="7" t="s">
        <v>37</v>
      </c>
      <c r="H553" s="10" t="s">
        <v>28</v>
      </c>
      <c r="I553" s="9">
        <v>11.52</v>
      </c>
      <c r="J553" s="7" t="s">
        <v>79</v>
      </c>
      <c r="K553" s="7" t="s">
        <v>46</v>
      </c>
      <c r="L553" s="11" t="str">
        <f>HYPERLINK("http://slimages.macys.com/is/image/MCY/15295390 ")</f>
        <v xml:space="preserve">http://slimages.macys.com/is/image/MCY/15295390 </v>
      </c>
    </row>
    <row r="554" spans="1:12" ht="48" x14ac:dyDescent="0.25">
      <c r="A554" s="10" t="s">
        <v>395</v>
      </c>
      <c r="B554" s="7" t="s">
        <v>393</v>
      </c>
      <c r="C554" s="8">
        <v>1</v>
      </c>
      <c r="D554" s="9">
        <v>38.4</v>
      </c>
      <c r="E554" s="9">
        <v>98</v>
      </c>
      <c r="F554" s="8" t="s">
        <v>394</v>
      </c>
      <c r="G554" s="7" t="s">
        <v>37</v>
      </c>
      <c r="H554" s="10" t="s">
        <v>53</v>
      </c>
      <c r="I554" s="9">
        <v>11.52</v>
      </c>
      <c r="J554" s="7" t="s">
        <v>79</v>
      </c>
      <c r="K554" s="7" t="s">
        <v>46</v>
      </c>
      <c r="L554" s="11" t="str">
        <f>HYPERLINK("http://slimages.macys.com/is/image/MCY/15295390 ")</f>
        <v xml:space="preserve">http://slimages.macys.com/is/image/MCY/15295390 </v>
      </c>
    </row>
    <row r="555" spans="1:12" ht="48" x14ac:dyDescent="0.25">
      <c r="A555" s="10" t="s">
        <v>931</v>
      </c>
      <c r="B555" s="7" t="s">
        <v>452</v>
      </c>
      <c r="C555" s="8">
        <v>1</v>
      </c>
      <c r="D555" s="9">
        <v>29.4</v>
      </c>
      <c r="E555" s="9">
        <v>98</v>
      </c>
      <c r="F555" s="8" t="s">
        <v>453</v>
      </c>
      <c r="G555" s="7" t="s">
        <v>339</v>
      </c>
      <c r="H555" s="10" t="s">
        <v>30</v>
      </c>
      <c r="I555" s="9">
        <v>8.82</v>
      </c>
      <c r="J555" s="7" t="s">
        <v>79</v>
      </c>
      <c r="K555" s="7" t="s">
        <v>219</v>
      </c>
      <c r="L555" s="11" t="str">
        <f>HYPERLINK("http://slimages.macys.com/is/image/MCY/15171796 ")</f>
        <v xml:space="preserve">http://slimages.macys.com/is/image/MCY/15171796 </v>
      </c>
    </row>
    <row r="556" spans="1:12" ht="60" x14ac:dyDescent="0.25">
      <c r="A556" s="10" t="s">
        <v>930</v>
      </c>
      <c r="B556" s="7" t="s">
        <v>929</v>
      </c>
      <c r="C556" s="8">
        <v>1</v>
      </c>
      <c r="D556" s="9">
        <v>27</v>
      </c>
      <c r="E556" s="9">
        <v>108</v>
      </c>
      <c r="F556" s="8" t="s">
        <v>928</v>
      </c>
      <c r="G556" s="7" t="s">
        <v>88</v>
      </c>
      <c r="H556" s="10" t="s">
        <v>30</v>
      </c>
      <c r="I556" s="9">
        <v>8.1</v>
      </c>
      <c r="J556" s="7" t="s">
        <v>79</v>
      </c>
      <c r="K556" s="7" t="s">
        <v>927</v>
      </c>
      <c r="L556" s="11" t="str">
        <f>HYPERLINK("http://slimages.macys.com/is/image/MCY/15171492 ")</f>
        <v xml:space="preserve">http://slimages.macys.com/is/image/MCY/15171492 </v>
      </c>
    </row>
    <row r="557" spans="1:12" ht="48" x14ac:dyDescent="0.25">
      <c r="A557" s="10" t="s">
        <v>926</v>
      </c>
      <c r="B557" s="7" t="s">
        <v>445</v>
      </c>
      <c r="C557" s="8">
        <v>1</v>
      </c>
      <c r="D557" s="9">
        <v>30.23</v>
      </c>
      <c r="E557" s="9">
        <v>89.98</v>
      </c>
      <c r="F557" s="8" t="s">
        <v>446</v>
      </c>
      <c r="G557" s="7" t="s">
        <v>27</v>
      </c>
      <c r="H557" s="10" t="s">
        <v>53</v>
      </c>
      <c r="I557" s="9">
        <v>9.0690000000000008</v>
      </c>
      <c r="J557" s="7" t="s">
        <v>237</v>
      </c>
      <c r="K557" s="7" t="s">
        <v>219</v>
      </c>
      <c r="L557" s="11" t="str">
        <f>HYPERLINK("http://slimages.macys.com/is/image/MCY/13331059 ")</f>
        <v xml:space="preserve">http://slimages.macys.com/is/image/MCY/13331059 </v>
      </c>
    </row>
    <row r="558" spans="1:12" ht="60" x14ac:dyDescent="0.25">
      <c r="A558" s="10" t="s">
        <v>925</v>
      </c>
      <c r="B558" s="7" t="s">
        <v>924</v>
      </c>
      <c r="C558" s="8">
        <v>1</v>
      </c>
      <c r="D558" s="9">
        <v>26</v>
      </c>
      <c r="E558" s="9">
        <v>79</v>
      </c>
      <c r="F558" s="8" t="s">
        <v>923</v>
      </c>
      <c r="G558" s="7" t="s">
        <v>147</v>
      </c>
      <c r="H558" s="10" t="s">
        <v>441</v>
      </c>
      <c r="I558" s="9">
        <v>7.8</v>
      </c>
      <c r="J558" s="7" t="s">
        <v>382</v>
      </c>
      <c r="K558" s="7" t="s">
        <v>36</v>
      </c>
      <c r="L558" s="11" t="str">
        <f>HYPERLINK("http://slimages.macys.com/is/image/MCY/14996363 ")</f>
        <v xml:space="preserve">http://slimages.macys.com/is/image/MCY/14996363 </v>
      </c>
    </row>
    <row r="559" spans="1:12" ht="48" x14ac:dyDescent="0.25">
      <c r="A559" s="10" t="s">
        <v>922</v>
      </c>
      <c r="B559" s="7" t="s">
        <v>458</v>
      </c>
      <c r="C559" s="8">
        <v>1</v>
      </c>
      <c r="D559" s="9">
        <v>27</v>
      </c>
      <c r="E559" s="9">
        <v>89</v>
      </c>
      <c r="F559" s="8" t="s">
        <v>459</v>
      </c>
      <c r="G559" s="7" t="s">
        <v>88</v>
      </c>
      <c r="H559" s="10" t="s">
        <v>454</v>
      </c>
      <c r="I559" s="9">
        <v>8.1</v>
      </c>
      <c r="J559" s="7" t="s">
        <v>382</v>
      </c>
      <c r="K559" s="7" t="s">
        <v>460</v>
      </c>
      <c r="L559" s="11" t="str">
        <f>HYPERLINK("http://slimages.macys.com/is/image/MCY/15916700 ")</f>
        <v xml:space="preserve">http://slimages.macys.com/is/image/MCY/15916700 </v>
      </c>
    </row>
    <row r="560" spans="1:12" ht="48" x14ac:dyDescent="0.25">
      <c r="A560" s="10" t="s">
        <v>617</v>
      </c>
      <c r="B560" s="7" t="s">
        <v>458</v>
      </c>
      <c r="C560" s="8">
        <v>1</v>
      </c>
      <c r="D560" s="9">
        <v>27</v>
      </c>
      <c r="E560" s="9">
        <v>89</v>
      </c>
      <c r="F560" s="8" t="s">
        <v>459</v>
      </c>
      <c r="G560" s="7" t="s">
        <v>88</v>
      </c>
      <c r="H560" s="10" t="s">
        <v>419</v>
      </c>
      <c r="I560" s="9">
        <v>8.1</v>
      </c>
      <c r="J560" s="7" t="s">
        <v>382</v>
      </c>
      <c r="K560" s="7" t="s">
        <v>460</v>
      </c>
      <c r="L560" s="11" t="str">
        <f>HYPERLINK("http://slimages.macys.com/is/image/MCY/15916700 ")</f>
        <v xml:space="preserve">http://slimages.macys.com/is/image/MCY/15916700 </v>
      </c>
    </row>
    <row r="561" spans="1:12" ht="48" x14ac:dyDescent="0.25">
      <c r="A561" s="10" t="s">
        <v>921</v>
      </c>
      <c r="B561" s="7" t="s">
        <v>458</v>
      </c>
      <c r="C561" s="8">
        <v>1</v>
      </c>
      <c r="D561" s="9">
        <v>27</v>
      </c>
      <c r="E561" s="9">
        <v>89</v>
      </c>
      <c r="F561" s="8" t="s">
        <v>459</v>
      </c>
      <c r="G561" s="7" t="s">
        <v>88</v>
      </c>
      <c r="H561" s="10" t="s">
        <v>403</v>
      </c>
      <c r="I561" s="9">
        <v>8.1</v>
      </c>
      <c r="J561" s="7" t="s">
        <v>382</v>
      </c>
      <c r="K561" s="7" t="s">
        <v>460</v>
      </c>
      <c r="L561" s="11" t="str">
        <f>HYPERLINK("http://slimages.macys.com/is/image/MCY/15916700 ")</f>
        <v xml:space="preserve">http://slimages.macys.com/is/image/MCY/15916700 </v>
      </c>
    </row>
    <row r="562" spans="1:12" ht="48" x14ac:dyDescent="0.25">
      <c r="A562" s="10" t="s">
        <v>457</v>
      </c>
      <c r="B562" s="7" t="s">
        <v>458</v>
      </c>
      <c r="C562" s="8">
        <v>1</v>
      </c>
      <c r="D562" s="9">
        <v>27</v>
      </c>
      <c r="E562" s="9">
        <v>89</v>
      </c>
      <c r="F562" s="8" t="s">
        <v>459</v>
      </c>
      <c r="G562" s="7" t="s">
        <v>88</v>
      </c>
      <c r="H562" s="10" t="s">
        <v>442</v>
      </c>
      <c r="I562" s="9">
        <v>8.1</v>
      </c>
      <c r="J562" s="7" t="s">
        <v>382</v>
      </c>
      <c r="K562" s="7" t="s">
        <v>460</v>
      </c>
      <c r="L562" s="11" t="str">
        <f>HYPERLINK("http://slimages.macys.com/is/image/MCY/15916700 ")</f>
        <v xml:space="preserve">http://slimages.macys.com/is/image/MCY/15916700 </v>
      </c>
    </row>
    <row r="563" spans="1:12" ht="48" x14ac:dyDescent="0.25">
      <c r="A563" s="10" t="s">
        <v>920</v>
      </c>
      <c r="B563" s="7" t="s">
        <v>596</v>
      </c>
      <c r="C563" s="8">
        <v>2</v>
      </c>
      <c r="D563" s="9">
        <v>21.4</v>
      </c>
      <c r="E563" s="9">
        <v>69</v>
      </c>
      <c r="F563" s="8" t="s">
        <v>595</v>
      </c>
      <c r="G563" s="7" t="s">
        <v>27</v>
      </c>
      <c r="H563" s="10" t="s">
        <v>442</v>
      </c>
      <c r="I563" s="9">
        <v>6.42</v>
      </c>
      <c r="J563" s="7" t="s">
        <v>382</v>
      </c>
      <c r="K563" s="7" t="s">
        <v>72</v>
      </c>
      <c r="L563" s="11" t="str">
        <f>HYPERLINK("http://slimages.macys.com/is/image/MCY/15202919 ")</f>
        <v xml:space="preserve">http://slimages.macys.com/is/image/MCY/15202919 </v>
      </c>
    </row>
    <row r="564" spans="1:12" ht="48" x14ac:dyDescent="0.25">
      <c r="A564" s="10" t="s">
        <v>919</v>
      </c>
      <c r="B564" s="7" t="s">
        <v>918</v>
      </c>
      <c r="C564" s="8">
        <v>1</v>
      </c>
      <c r="D564" s="9">
        <v>31.75</v>
      </c>
      <c r="E564" s="9">
        <v>89</v>
      </c>
      <c r="F564" s="8">
        <v>11430</v>
      </c>
      <c r="G564" s="7" t="s">
        <v>627</v>
      </c>
      <c r="H564" s="10"/>
      <c r="I564" s="9">
        <v>9.5250000000000004</v>
      </c>
      <c r="J564" s="7" t="s">
        <v>475</v>
      </c>
      <c r="K564" s="7" t="s">
        <v>72</v>
      </c>
      <c r="L564" s="11" t="str">
        <f>HYPERLINK("http://slimages.macys.com/is/image/MCY/15574628 ")</f>
        <v xml:space="preserve">http://slimages.macys.com/is/image/MCY/15574628 </v>
      </c>
    </row>
    <row r="565" spans="1:12" ht="48" x14ac:dyDescent="0.25">
      <c r="A565" s="10" t="s">
        <v>917</v>
      </c>
      <c r="B565" s="7" t="s">
        <v>915</v>
      </c>
      <c r="C565" s="8">
        <v>1</v>
      </c>
      <c r="D565" s="9">
        <v>24</v>
      </c>
      <c r="E565" s="9">
        <v>79</v>
      </c>
      <c r="F565" s="8" t="s">
        <v>914</v>
      </c>
      <c r="G565" s="7" t="s">
        <v>60</v>
      </c>
      <c r="H565" s="10" t="s">
        <v>441</v>
      </c>
      <c r="I565" s="9">
        <v>7.2</v>
      </c>
      <c r="J565" s="7" t="s">
        <v>382</v>
      </c>
      <c r="K565" s="7" t="s">
        <v>46</v>
      </c>
      <c r="L565" s="11" t="str">
        <f>HYPERLINK("http://slimages.macys.com/is/image/MCY/15669788 ")</f>
        <v xml:space="preserve">http://slimages.macys.com/is/image/MCY/15669788 </v>
      </c>
    </row>
    <row r="566" spans="1:12" ht="48" x14ac:dyDescent="0.25">
      <c r="A566" s="10" t="s">
        <v>916</v>
      </c>
      <c r="B566" s="7" t="s">
        <v>915</v>
      </c>
      <c r="C566" s="8">
        <v>1</v>
      </c>
      <c r="D566" s="9">
        <v>24</v>
      </c>
      <c r="E566" s="9">
        <v>79</v>
      </c>
      <c r="F566" s="8" t="s">
        <v>914</v>
      </c>
      <c r="G566" s="7" t="s">
        <v>60</v>
      </c>
      <c r="H566" s="10" t="s">
        <v>454</v>
      </c>
      <c r="I566" s="9">
        <v>7.2</v>
      </c>
      <c r="J566" s="7" t="s">
        <v>382</v>
      </c>
      <c r="K566" s="7" t="s">
        <v>46</v>
      </c>
      <c r="L566" s="11" t="str">
        <f>HYPERLINK("http://slimages.macys.com/is/image/MCY/15669788 ")</f>
        <v xml:space="preserve">http://slimages.macys.com/is/image/MCY/15669788 </v>
      </c>
    </row>
    <row r="567" spans="1:12" ht="72" x14ac:dyDescent="0.25">
      <c r="A567" s="10" t="s">
        <v>913</v>
      </c>
      <c r="B567" s="7" t="s">
        <v>162</v>
      </c>
      <c r="C567" s="8">
        <v>1</v>
      </c>
      <c r="D567" s="9">
        <v>70.5</v>
      </c>
      <c r="E567" s="9">
        <v>188</v>
      </c>
      <c r="F567" s="8" t="s">
        <v>163</v>
      </c>
      <c r="G567" s="7" t="s">
        <v>45</v>
      </c>
      <c r="H567" s="10" t="s">
        <v>35</v>
      </c>
      <c r="I567" s="9">
        <v>21.15</v>
      </c>
      <c r="J567" s="7" t="s">
        <v>43</v>
      </c>
      <c r="K567" s="7" t="s">
        <v>164</v>
      </c>
      <c r="L567" s="11" t="str">
        <f>HYPERLINK("http://slimages.macys.com/is/image/MCY/15708763 ")</f>
        <v xml:space="preserve">http://slimages.macys.com/is/image/MCY/15708763 </v>
      </c>
    </row>
    <row r="568" spans="1:12" ht="72" x14ac:dyDescent="0.25">
      <c r="A568" s="10" t="s">
        <v>912</v>
      </c>
      <c r="B568" s="7" t="s">
        <v>162</v>
      </c>
      <c r="C568" s="8">
        <v>1</v>
      </c>
      <c r="D568" s="9">
        <v>70.5</v>
      </c>
      <c r="E568" s="9">
        <v>188</v>
      </c>
      <c r="F568" s="8" t="s">
        <v>163</v>
      </c>
      <c r="G568" s="7" t="s">
        <v>45</v>
      </c>
      <c r="H568" s="10" t="s">
        <v>28</v>
      </c>
      <c r="I568" s="9">
        <v>21.15</v>
      </c>
      <c r="J568" s="7" t="s">
        <v>43</v>
      </c>
      <c r="K568" s="7" t="s">
        <v>164</v>
      </c>
      <c r="L568" s="11" t="str">
        <f>HYPERLINK("http://slimages.macys.com/is/image/MCY/15708763 ")</f>
        <v xml:space="preserve">http://slimages.macys.com/is/image/MCY/15708763 </v>
      </c>
    </row>
    <row r="569" spans="1:12" ht="72" x14ac:dyDescent="0.25">
      <c r="A569" s="10" t="s">
        <v>161</v>
      </c>
      <c r="B569" s="7" t="s">
        <v>162</v>
      </c>
      <c r="C569" s="8">
        <v>2</v>
      </c>
      <c r="D569" s="9">
        <v>70.5</v>
      </c>
      <c r="E569" s="9">
        <v>188</v>
      </c>
      <c r="F569" s="8" t="s">
        <v>163</v>
      </c>
      <c r="G569" s="7" t="s">
        <v>45</v>
      </c>
      <c r="H569" s="10" t="s">
        <v>25</v>
      </c>
      <c r="I569" s="9">
        <v>21.15</v>
      </c>
      <c r="J569" s="7" t="s">
        <v>43</v>
      </c>
      <c r="K569" s="7" t="s">
        <v>164</v>
      </c>
      <c r="L569" s="11" t="str">
        <f>HYPERLINK("http://slimages.macys.com/is/image/MCY/15708763 ")</f>
        <v xml:space="preserve">http://slimages.macys.com/is/image/MCY/15708763 </v>
      </c>
    </row>
    <row r="570" spans="1:12" ht="48" x14ac:dyDescent="0.25">
      <c r="A570" s="10" t="s">
        <v>911</v>
      </c>
      <c r="B570" s="7" t="s">
        <v>497</v>
      </c>
      <c r="C570" s="8">
        <v>1</v>
      </c>
      <c r="D570" s="9">
        <v>20</v>
      </c>
      <c r="E570" s="9">
        <v>69</v>
      </c>
      <c r="F570" s="8" t="s">
        <v>498</v>
      </c>
      <c r="G570" s="7" t="s">
        <v>27</v>
      </c>
      <c r="H570" s="10"/>
      <c r="I570" s="9">
        <v>6</v>
      </c>
      <c r="J570" s="7" t="s">
        <v>382</v>
      </c>
      <c r="K570" s="7" t="s">
        <v>499</v>
      </c>
      <c r="L570" s="11" t="str">
        <f>HYPERLINK("http://slimages.macys.com/is/image/MCY/14829027 ")</f>
        <v xml:space="preserve">http://slimages.macys.com/is/image/MCY/14829027 </v>
      </c>
    </row>
    <row r="571" spans="1:12" ht="60" x14ac:dyDescent="0.25">
      <c r="A571" s="10" t="s">
        <v>910</v>
      </c>
      <c r="B571" s="7" t="s">
        <v>509</v>
      </c>
      <c r="C571" s="8">
        <v>1</v>
      </c>
      <c r="D571" s="9">
        <v>19</v>
      </c>
      <c r="E571" s="9">
        <v>59</v>
      </c>
      <c r="F571" s="8" t="s">
        <v>510</v>
      </c>
      <c r="G571" s="7" t="s">
        <v>469</v>
      </c>
      <c r="H571" s="10"/>
      <c r="I571" s="9">
        <v>5.7</v>
      </c>
      <c r="J571" s="7" t="s">
        <v>475</v>
      </c>
      <c r="K571" s="7" t="s">
        <v>36</v>
      </c>
      <c r="L571" s="11" t="str">
        <f>HYPERLINK("http://slimages.macys.com/is/image/MCY/14996359 ")</f>
        <v xml:space="preserve">http://slimages.macys.com/is/image/MCY/14996359 </v>
      </c>
    </row>
    <row r="572" spans="1:12" ht="72" x14ac:dyDescent="0.25">
      <c r="A572" s="10" t="s">
        <v>909</v>
      </c>
      <c r="B572" s="7" t="s">
        <v>908</v>
      </c>
      <c r="C572" s="8">
        <v>1</v>
      </c>
      <c r="D572" s="9">
        <v>55.3</v>
      </c>
      <c r="E572" s="9">
        <v>158</v>
      </c>
      <c r="F572" s="8" t="s">
        <v>907</v>
      </c>
      <c r="G572" s="7" t="s">
        <v>181</v>
      </c>
      <c r="H572" s="10" t="s">
        <v>35</v>
      </c>
      <c r="I572" s="9">
        <v>16.59</v>
      </c>
      <c r="J572" s="7" t="s">
        <v>79</v>
      </c>
      <c r="K572" s="7" t="s">
        <v>470</v>
      </c>
      <c r="L572" s="11" t="str">
        <f>HYPERLINK("http://slimages.macys.com/is/image/MCY/14840974 ")</f>
        <v xml:space="preserve">http://slimages.macys.com/is/image/MCY/14840974 </v>
      </c>
    </row>
    <row r="573" spans="1:12" ht="48" x14ac:dyDescent="0.25">
      <c r="A573" s="10" t="s">
        <v>906</v>
      </c>
      <c r="B573" s="7" t="s">
        <v>905</v>
      </c>
      <c r="C573" s="8">
        <v>1</v>
      </c>
      <c r="D573" s="9">
        <v>84.58</v>
      </c>
      <c r="E573" s="9">
        <v>199</v>
      </c>
      <c r="F573" s="8" t="s">
        <v>904</v>
      </c>
      <c r="G573" s="7" t="s">
        <v>133</v>
      </c>
      <c r="H573" s="10" t="s">
        <v>28</v>
      </c>
      <c r="I573" s="9">
        <v>25.373999999999999</v>
      </c>
      <c r="J573" s="7" t="s">
        <v>29</v>
      </c>
      <c r="K573" s="7" t="s">
        <v>903</v>
      </c>
      <c r="L573" s="11" t="str">
        <f>HYPERLINK("http://slimages.macys.com/is/image/MCY/15217173 ")</f>
        <v xml:space="preserve">http://slimages.macys.com/is/image/MCY/15217173 </v>
      </c>
    </row>
    <row r="574" spans="1:12" ht="48" x14ac:dyDescent="0.25">
      <c r="A574" s="10" t="s">
        <v>902</v>
      </c>
      <c r="B574" s="7" t="s">
        <v>901</v>
      </c>
      <c r="C574" s="8">
        <v>1</v>
      </c>
      <c r="D574" s="9">
        <v>98</v>
      </c>
      <c r="E574" s="9">
        <v>249</v>
      </c>
      <c r="F574" s="8" t="s">
        <v>900</v>
      </c>
      <c r="G574" s="7" t="s">
        <v>45</v>
      </c>
      <c r="H574" s="10" t="s">
        <v>25</v>
      </c>
      <c r="I574" s="9">
        <v>29.4</v>
      </c>
      <c r="J574" s="7" t="s">
        <v>43</v>
      </c>
      <c r="K574" s="7" t="s">
        <v>58</v>
      </c>
      <c r="L574" s="11" t="str">
        <f>HYPERLINK("http://slimages.macys.com/is/image/MCY/14772741 ")</f>
        <v xml:space="preserve">http://slimages.macys.com/is/image/MCY/14772741 </v>
      </c>
    </row>
    <row r="575" spans="1:12" ht="72" x14ac:dyDescent="0.25">
      <c r="A575" s="10" t="s">
        <v>667</v>
      </c>
      <c r="B575" s="7" t="s">
        <v>666</v>
      </c>
      <c r="C575" s="8">
        <v>1</v>
      </c>
      <c r="D575" s="9">
        <v>47.6</v>
      </c>
      <c r="E575" s="9">
        <v>119</v>
      </c>
      <c r="F575" s="8">
        <v>2913074</v>
      </c>
      <c r="G575" s="7" t="s">
        <v>27</v>
      </c>
      <c r="H575" s="10"/>
      <c r="I575" s="9">
        <v>14.28</v>
      </c>
      <c r="J575" s="7" t="s">
        <v>39</v>
      </c>
      <c r="K575" s="7" t="s">
        <v>665</v>
      </c>
      <c r="L575" s="11" t="str">
        <f>HYPERLINK("http://slimages.macys.com/is/image/MCY/14888482 ")</f>
        <v xml:space="preserve">http://slimages.macys.com/is/image/MCY/14888482 </v>
      </c>
    </row>
    <row r="576" spans="1:12" ht="72" x14ac:dyDescent="0.25">
      <c r="A576" s="10" t="s">
        <v>899</v>
      </c>
      <c r="B576" s="7" t="s">
        <v>666</v>
      </c>
      <c r="C576" s="8">
        <v>1</v>
      </c>
      <c r="D576" s="9">
        <v>47.6</v>
      </c>
      <c r="E576" s="9">
        <v>119</v>
      </c>
      <c r="F576" s="8">
        <v>2913074</v>
      </c>
      <c r="G576" s="7" t="s">
        <v>27</v>
      </c>
      <c r="H576" s="10"/>
      <c r="I576" s="9">
        <v>14.28</v>
      </c>
      <c r="J576" s="7" t="s">
        <v>39</v>
      </c>
      <c r="K576" s="7" t="s">
        <v>665</v>
      </c>
      <c r="L576" s="11" t="str">
        <f>HYPERLINK("http://slimages.macys.com/is/image/MCY/14888482 ")</f>
        <v xml:space="preserve">http://slimages.macys.com/is/image/MCY/14888482 </v>
      </c>
    </row>
    <row r="577" spans="1:12" ht="72" x14ac:dyDescent="0.25">
      <c r="A577" s="10" t="s">
        <v>898</v>
      </c>
      <c r="B577" s="7" t="s">
        <v>666</v>
      </c>
      <c r="C577" s="8">
        <v>1</v>
      </c>
      <c r="D577" s="9">
        <v>47.6</v>
      </c>
      <c r="E577" s="9">
        <v>119</v>
      </c>
      <c r="F577" s="8">
        <v>2913074</v>
      </c>
      <c r="G577" s="7" t="s">
        <v>27</v>
      </c>
      <c r="H577" s="10"/>
      <c r="I577" s="9">
        <v>14.28</v>
      </c>
      <c r="J577" s="7" t="s">
        <v>39</v>
      </c>
      <c r="K577" s="7" t="s">
        <v>665</v>
      </c>
      <c r="L577" s="11" t="str">
        <f>HYPERLINK("http://slimages.macys.com/is/image/MCY/14888482 ")</f>
        <v xml:space="preserve">http://slimages.macys.com/is/image/MCY/14888482 </v>
      </c>
    </row>
    <row r="578" spans="1:12" ht="48" x14ac:dyDescent="0.25">
      <c r="A578" s="10" t="s">
        <v>897</v>
      </c>
      <c r="B578" s="7" t="s">
        <v>896</v>
      </c>
      <c r="C578" s="8">
        <v>1</v>
      </c>
      <c r="D578" s="9">
        <v>28</v>
      </c>
      <c r="E578" s="9">
        <v>89</v>
      </c>
      <c r="F578" s="8" t="s">
        <v>895</v>
      </c>
      <c r="G578" s="7" t="s">
        <v>34</v>
      </c>
      <c r="H578" s="10" t="s">
        <v>447</v>
      </c>
      <c r="I578" s="9">
        <v>8.4</v>
      </c>
      <c r="J578" s="7" t="s">
        <v>187</v>
      </c>
      <c r="K578" s="7" t="s">
        <v>894</v>
      </c>
      <c r="L578" s="11" t="str">
        <f>HYPERLINK("http://slimages.macys.com/is/image/MCY/14996024 ")</f>
        <v xml:space="preserve">http://slimages.macys.com/is/image/MCY/14996024 </v>
      </c>
    </row>
    <row r="579" spans="1:12" ht="48" x14ac:dyDescent="0.25">
      <c r="A579" s="10" t="s">
        <v>893</v>
      </c>
      <c r="B579" s="7" t="s">
        <v>892</v>
      </c>
      <c r="C579" s="8">
        <v>1</v>
      </c>
      <c r="D579" s="9">
        <v>12</v>
      </c>
      <c r="E579" s="9">
        <v>30.99</v>
      </c>
      <c r="F579" s="8" t="s">
        <v>891</v>
      </c>
      <c r="G579" s="7" t="s">
        <v>184</v>
      </c>
      <c r="H579" s="10" t="s">
        <v>471</v>
      </c>
      <c r="I579" s="9">
        <v>3.6</v>
      </c>
      <c r="J579" s="7" t="s">
        <v>496</v>
      </c>
      <c r="K579" s="7" t="s">
        <v>219</v>
      </c>
      <c r="L579" s="11" t="str">
        <f>HYPERLINK("http://slimages.macys.com/is/image/MCY/13581066 ")</f>
        <v xml:space="preserve">http://slimages.macys.com/is/image/MCY/13581066 </v>
      </c>
    </row>
    <row r="580" spans="1:12" ht="48" x14ac:dyDescent="0.25">
      <c r="A580" s="10" t="s">
        <v>890</v>
      </c>
      <c r="B580" s="7" t="s">
        <v>616</v>
      </c>
      <c r="C580" s="8">
        <v>1</v>
      </c>
      <c r="D580" s="9">
        <v>26</v>
      </c>
      <c r="E580" s="9">
        <v>79</v>
      </c>
      <c r="F580" s="8" t="s">
        <v>615</v>
      </c>
      <c r="G580" s="7" t="s">
        <v>27</v>
      </c>
      <c r="H580" s="10" t="s">
        <v>30</v>
      </c>
      <c r="I580" s="9">
        <v>7.8</v>
      </c>
      <c r="J580" s="7" t="s">
        <v>182</v>
      </c>
      <c r="K580" s="7" t="s">
        <v>219</v>
      </c>
      <c r="L580" s="11" t="str">
        <f>HYPERLINK("http://slimages.macys.com/is/image/MCY/15651086 ")</f>
        <v xml:space="preserve">http://slimages.macys.com/is/image/MCY/15651086 </v>
      </c>
    </row>
    <row r="581" spans="1:12" ht="48" x14ac:dyDescent="0.25">
      <c r="A581" s="10" t="s">
        <v>889</v>
      </c>
      <c r="B581" s="7" t="s">
        <v>888</v>
      </c>
      <c r="C581" s="8">
        <v>1</v>
      </c>
      <c r="D581" s="9">
        <v>8.1</v>
      </c>
      <c r="E581" s="9">
        <v>20.99</v>
      </c>
      <c r="F581" s="8" t="s">
        <v>887</v>
      </c>
      <c r="G581" s="7" t="s">
        <v>736</v>
      </c>
      <c r="H581" s="10" t="s">
        <v>285</v>
      </c>
      <c r="I581" s="9">
        <v>2.4300000000000002</v>
      </c>
      <c r="J581" s="7" t="s">
        <v>496</v>
      </c>
      <c r="K581" s="7" t="s">
        <v>219</v>
      </c>
      <c r="L581" s="11" t="str">
        <f>HYPERLINK("http://slimages.macys.com/is/image/MCY/14634534 ")</f>
        <v xml:space="preserve">http://slimages.macys.com/is/image/MCY/14634534 </v>
      </c>
    </row>
    <row r="582" spans="1:12" ht="48" x14ac:dyDescent="0.25">
      <c r="A582" s="10" t="s">
        <v>886</v>
      </c>
      <c r="B582" s="7" t="s">
        <v>885</v>
      </c>
      <c r="C582" s="8">
        <v>1</v>
      </c>
      <c r="D582" s="9">
        <v>52.5</v>
      </c>
      <c r="E582" s="9">
        <v>125</v>
      </c>
      <c r="F582" s="8">
        <v>251743412003</v>
      </c>
      <c r="G582" s="7" t="s">
        <v>45</v>
      </c>
      <c r="H582" s="10" t="s">
        <v>38</v>
      </c>
      <c r="I582" s="9">
        <v>15.75</v>
      </c>
      <c r="J582" s="7" t="s">
        <v>134</v>
      </c>
      <c r="K582" s="7" t="s">
        <v>177</v>
      </c>
      <c r="L582" s="11" t="str">
        <f>HYPERLINK("http://slimages.macys.com/is/image/MCY/13339959 ")</f>
        <v xml:space="preserve">http://slimages.macys.com/is/image/MCY/13339959 </v>
      </c>
    </row>
    <row r="583" spans="1:12" ht="72" x14ac:dyDescent="0.25">
      <c r="A583" s="10" t="s">
        <v>207</v>
      </c>
      <c r="B583" s="7" t="s">
        <v>204</v>
      </c>
      <c r="C583" s="8">
        <v>1</v>
      </c>
      <c r="D583" s="9">
        <v>65</v>
      </c>
      <c r="E583" s="9">
        <v>178</v>
      </c>
      <c r="F583" s="8" t="s">
        <v>205</v>
      </c>
      <c r="G583" s="7" t="s">
        <v>27</v>
      </c>
      <c r="H583" s="10" t="s">
        <v>35</v>
      </c>
      <c r="I583" s="9">
        <v>19.5</v>
      </c>
      <c r="J583" s="7" t="s">
        <v>43</v>
      </c>
      <c r="K583" s="7" t="s">
        <v>206</v>
      </c>
      <c r="L583" s="11" t="str">
        <f>HYPERLINK("http://slimages.macys.com/is/image/MCY/15728239 ")</f>
        <v xml:space="preserve">http://slimages.macys.com/is/image/MCY/15728239 </v>
      </c>
    </row>
    <row r="584" spans="1:12" ht="72" x14ac:dyDescent="0.25">
      <c r="A584" s="10" t="s">
        <v>884</v>
      </c>
      <c r="B584" s="7" t="s">
        <v>484</v>
      </c>
      <c r="C584" s="8">
        <v>1</v>
      </c>
      <c r="D584" s="9">
        <v>22</v>
      </c>
      <c r="E584" s="9">
        <v>69</v>
      </c>
      <c r="F584" s="8" t="s">
        <v>485</v>
      </c>
      <c r="G584" s="7" t="s">
        <v>37</v>
      </c>
      <c r="H584" s="10" t="s">
        <v>403</v>
      </c>
      <c r="I584" s="9">
        <v>6.6</v>
      </c>
      <c r="J584" s="7" t="s">
        <v>382</v>
      </c>
      <c r="K584" s="7" t="s">
        <v>486</v>
      </c>
      <c r="L584" s="11" t="str">
        <f>HYPERLINK("http://slimages.macys.com/is/image/MCY/10056400 ")</f>
        <v xml:space="preserve">http://slimages.macys.com/is/image/MCY/10056400 </v>
      </c>
    </row>
    <row r="585" spans="1:12" ht="72" x14ac:dyDescent="0.25">
      <c r="A585" s="10" t="s">
        <v>483</v>
      </c>
      <c r="B585" s="7" t="s">
        <v>484</v>
      </c>
      <c r="C585" s="8">
        <v>1</v>
      </c>
      <c r="D585" s="9">
        <v>22</v>
      </c>
      <c r="E585" s="9">
        <v>69</v>
      </c>
      <c r="F585" s="8" t="s">
        <v>485</v>
      </c>
      <c r="G585" s="7" t="s">
        <v>37</v>
      </c>
      <c r="H585" s="10" t="s">
        <v>402</v>
      </c>
      <c r="I585" s="9">
        <v>6.6</v>
      </c>
      <c r="J585" s="7" t="s">
        <v>382</v>
      </c>
      <c r="K585" s="7" t="s">
        <v>486</v>
      </c>
      <c r="L585" s="11" t="str">
        <f>HYPERLINK("http://slimages.macys.com/is/image/MCY/10056400 ")</f>
        <v xml:space="preserve">http://slimages.macys.com/is/image/MCY/10056400 </v>
      </c>
    </row>
    <row r="586" spans="1:12" ht="48" x14ac:dyDescent="0.25">
      <c r="A586" s="10" t="s">
        <v>883</v>
      </c>
      <c r="B586" s="7" t="s">
        <v>882</v>
      </c>
      <c r="C586" s="8">
        <v>1</v>
      </c>
      <c r="D586" s="9">
        <v>55.6</v>
      </c>
      <c r="E586" s="9">
        <v>139</v>
      </c>
      <c r="F586" s="8" t="s">
        <v>881</v>
      </c>
      <c r="G586" s="7" t="s">
        <v>117</v>
      </c>
      <c r="H586" s="10" t="s">
        <v>102</v>
      </c>
      <c r="I586" s="9">
        <v>16.68</v>
      </c>
      <c r="J586" s="7" t="s">
        <v>134</v>
      </c>
      <c r="K586" s="7" t="s">
        <v>219</v>
      </c>
      <c r="L586" s="11" t="str">
        <f>HYPERLINK("http://slimages.macys.com/is/image/MCY/15394425 ")</f>
        <v xml:space="preserve">http://slimages.macys.com/is/image/MCY/15394425 </v>
      </c>
    </row>
    <row r="587" spans="1:12" ht="48" x14ac:dyDescent="0.25">
      <c r="A587" s="10" t="s">
        <v>549</v>
      </c>
      <c r="B587" s="7" t="s">
        <v>547</v>
      </c>
      <c r="C587" s="8">
        <v>1</v>
      </c>
      <c r="D587" s="9">
        <v>14.7</v>
      </c>
      <c r="E587" s="9">
        <v>36.99</v>
      </c>
      <c r="F587" s="8" t="s">
        <v>548</v>
      </c>
      <c r="G587" s="7" t="s">
        <v>101</v>
      </c>
      <c r="H587" s="10" t="s">
        <v>82</v>
      </c>
      <c r="I587" s="9">
        <v>4.41</v>
      </c>
      <c r="J587" s="7" t="s">
        <v>496</v>
      </c>
      <c r="K587" s="7" t="s">
        <v>72</v>
      </c>
      <c r="L587" s="11" t="str">
        <f>HYPERLINK("http://slimages.macys.com/is/image/MCY/15720885 ")</f>
        <v xml:space="preserve">http://slimages.macys.com/is/image/MCY/15720885 </v>
      </c>
    </row>
    <row r="588" spans="1:12" ht="48" x14ac:dyDescent="0.25">
      <c r="A588" s="10" t="s">
        <v>546</v>
      </c>
      <c r="B588" s="7" t="s">
        <v>547</v>
      </c>
      <c r="C588" s="8">
        <v>1</v>
      </c>
      <c r="D588" s="9">
        <v>14.7</v>
      </c>
      <c r="E588" s="9">
        <v>36.99</v>
      </c>
      <c r="F588" s="8" t="s">
        <v>548</v>
      </c>
      <c r="G588" s="7" t="s">
        <v>101</v>
      </c>
      <c r="H588" s="10" t="s">
        <v>212</v>
      </c>
      <c r="I588" s="9">
        <v>4.41</v>
      </c>
      <c r="J588" s="7" t="s">
        <v>496</v>
      </c>
      <c r="K588" s="7" t="s">
        <v>72</v>
      </c>
      <c r="L588" s="11" t="str">
        <f>HYPERLINK("http://slimages.macys.com/is/image/MCY/15720885 ")</f>
        <v xml:space="preserve">http://slimages.macys.com/is/image/MCY/15720885 </v>
      </c>
    </row>
    <row r="589" spans="1:12" ht="48" x14ac:dyDescent="0.25">
      <c r="A589" s="10" t="s">
        <v>880</v>
      </c>
      <c r="B589" s="7" t="s">
        <v>878</v>
      </c>
      <c r="C589" s="8">
        <v>1</v>
      </c>
      <c r="D589" s="9">
        <v>45.78</v>
      </c>
      <c r="E589" s="9">
        <v>109</v>
      </c>
      <c r="F589" s="8">
        <v>250768179001</v>
      </c>
      <c r="G589" s="7" t="s">
        <v>131</v>
      </c>
      <c r="H589" s="10" t="s">
        <v>35</v>
      </c>
      <c r="I589" s="9">
        <v>13.734</v>
      </c>
      <c r="J589" s="7" t="s">
        <v>137</v>
      </c>
      <c r="K589" s="7" t="s">
        <v>156</v>
      </c>
      <c r="L589" s="11" t="str">
        <f>HYPERLINK("http://slimages.macys.com/is/image/MCY/14770186 ")</f>
        <v xml:space="preserve">http://slimages.macys.com/is/image/MCY/14770186 </v>
      </c>
    </row>
    <row r="590" spans="1:12" ht="48" x14ac:dyDescent="0.25">
      <c r="A590" s="10" t="s">
        <v>879</v>
      </c>
      <c r="B590" s="7" t="s">
        <v>878</v>
      </c>
      <c r="C590" s="8">
        <v>1</v>
      </c>
      <c r="D590" s="9">
        <v>45.78</v>
      </c>
      <c r="E590" s="9">
        <v>109</v>
      </c>
      <c r="F590" s="8">
        <v>250768180004</v>
      </c>
      <c r="G590" s="7" t="s">
        <v>131</v>
      </c>
      <c r="H590" s="10" t="s">
        <v>57</v>
      </c>
      <c r="I590" s="9">
        <v>13.734</v>
      </c>
      <c r="J590" s="7" t="s">
        <v>137</v>
      </c>
      <c r="K590" s="7" t="s">
        <v>156</v>
      </c>
      <c r="L590" s="11" t="str">
        <f>HYPERLINK("http://slimages.macys.com/is/image/MCY/14770184 ")</f>
        <v xml:space="preserve">http://slimages.macys.com/is/image/MCY/14770184 </v>
      </c>
    </row>
    <row r="591" spans="1:12" ht="48" x14ac:dyDescent="0.25">
      <c r="A591" s="10" t="s">
        <v>877</v>
      </c>
      <c r="B591" s="7" t="s">
        <v>476</v>
      </c>
      <c r="C591" s="8">
        <v>1</v>
      </c>
      <c r="D591" s="9">
        <v>24</v>
      </c>
      <c r="E591" s="9">
        <v>69</v>
      </c>
      <c r="F591" s="8" t="s">
        <v>477</v>
      </c>
      <c r="G591" s="7" t="s">
        <v>27</v>
      </c>
      <c r="H591" s="10" t="s">
        <v>38</v>
      </c>
      <c r="I591" s="9">
        <v>7.2</v>
      </c>
      <c r="J591" s="7" t="s">
        <v>134</v>
      </c>
      <c r="K591" s="7" t="s">
        <v>219</v>
      </c>
      <c r="L591" s="11" t="str">
        <f>HYPERLINK("http://slimages.macys.com/is/image/MCY/3660738 ")</f>
        <v xml:space="preserve">http://slimages.macys.com/is/image/MCY/3660738 </v>
      </c>
    </row>
    <row r="592" spans="1:12" ht="48" x14ac:dyDescent="0.25">
      <c r="A592" s="10" t="s">
        <v>876</v>
      </c>
      <c r="B592" s="7" t="s">
        <v>875</v>
      </c>
      <c r="C592" s="8">
        <v>1</v>
      </c>
      <c r="D592" s="9">
        <v>24</v>
      </c>
      <c r="E592" s="9">
        <v>79</v>
      </c>
      <c r="F592" s="8" t="s">
        <v>874</v>
      </c>
      <c r="G592" s="7" t="s">
        <v>27</v>
      </c>
      <c r="H592" s="10" t="s">
        <v>405</v>
      </c>
      <c r="I592" s="9">
        <v>7.2</v>
      </c>
      <c r="J592" s="7" t="s">
        <v>382</v>
      </c>
      <c r="K592" s="7" t="s">
        <v>52</v>
      </c>
      <c r="L592" s="11" t="str">
        <f>HYPERLINK("http://slimages.macys.com/is/image/MCY/13838446 ")</f>
        <v xml:space="preserve">http://slimages.macys.com/is/image/MCY/13838446 </v>
      </c>
    </row>
    <row r="593" spans="1:12" ht="72" x14ac:dyDescent="0.25">
      <c r="A593" s="10" t="s">
        <v>873</v>
      </c>
      <c r="B593" s="7" t="s">
        <v>591</v>
      </c>
      <c r="C593" s="8">
        <v>1</v>
      </c>
      <c r="D593" s="9">
        <v>20.7</v>
      </c>
      <c r="E593" s="9">
        <v>69</v>
      </c>
      <c r="F593" s="8" t="s">
        <v>590</v>
      </c>
      <c r="G593" s="7" t="s">
        <v>106</v>
      </c>
      <c r="H593" s="10" t="s">
        <v>285</v>
      </c>
      <c r="I593" s="9">
        <v>6.21</v>
      </c>
      <c r="J593" s="7" t="s">
        <v>475</v>
      </c>
      <c r="K593" s="7" t="s">
        <v>589</v>
      </c>
      <c r="L593" s="11" t="str">
        <f>HYPERLINK("http://slimages.macys.com/is/image/MCY/15490967 ")</f>
        <v xml:space="preserve">http://slimages.macys.com/is/image/MCY/15490967 </v>
      </c>
    </row>
    <row r="594" spans="1:12" ht="72" x14ac:dyDescent="0.25">
      <c r="A594" s="10" t="s">
        <v>872</v>
      </c>
      <c r="B594" s="7" t="s">
        <v>591</v>
      </c>
      <c r="C594" s="8">
        <v>1</v>
      </c>
      <c r="D594" s="9">
        <v>20.7</v>
      </c>
      <c r="E594" s="9">
        <v>69</v>
      </c>
      <c r="F594" s="8" t="s">
        <v>590</v>
      </c>
      <c r="G594" s="7" t="s">
        <v>106</v>
      </c>
      <c r="H594" s="10" t="s">
        <v>132</v>
      </c>
      <c r="I594" s="9">
        <v>6.21</v>
      </c>
      <c r="J594" s="7" t="s">
        <v>475</v>
      </c>
      <c r="K594" s="7" t="s">
        <v>589</v>
      </c>
      <c r="L594" s="11" t="str">
        <f>HYPERLINK("http://slimages.macys.com/is/image/MCY/15490967 ")</f>
        <v xml:space="preserve">http://slimages.macys.com/is/image/MCY/15490967 </v>
      </c>
    </row>
    <row r="595" spans="1:12" ht="60" x14ac:dyDescent="0.25">
      <c r="A595" s="10" t="s">
        <v>871</v>
      </c>
      <c r="B595" s="7" t="s">
        <v>870</v>
      </c>
      <c r="C595" s="8">
        <v>1</v>
      </c>
      <c r="D595" s="9">
        <v>47.7</v>
      </c>
      <c r="E595" s="9">
        <v>159</v>
      </c>
      <c r="F595" s="8" t="s">
        <v>869</v>
      </c>
      <c r="G595" s="7" t="s">
        <v>114</v>
      </c>
      <c r="H595" s="10" t="s">
        <v>868</v>
      </c>
      <c r="I595" s="9">
        <v>14.31</v>
      </c>
      <c r="J595" s="7" t="s">
        <v>79</v>
      </c>
      <c r="K595" s="7" t="s">
        <v>311</v>
      </c>
      <c r="L595" s="11" t="str">
        <f>HYPERLINK("http://slimages.macys.com/is/image/MCY/14816241 ")</f>
        <v xml:space="preserve">http://slimages.macys.com/is/image/MCY/14816241 </v>
      </c>
    </row>
    <row r="596" spans="1:12" ht="60" x14ac:dyDescent="0.25">
      <c r="A596" s="10" t="s">
        <v>867</v>
      </c>
      <c r="B596" s="7" t="s">
        <v>866</v>
      </c>
      <c r="C596" s="8">
        <v>1</v>
      </c>
      <c r="D596" s="9">
        <v>59.6</v>
      </c>
      <c r="E596" s="9">
        <v>149</v>
      </c>
      <c r="F596" s="8" t="s">
        <v>865</v>
      </c>
      <c r="G596" s="7" t="s">
        <v>377</v>
      </c>
      <c r="H596" s="10" t="s">
        <v>40</v>
      </c>
      <c r="I596" s="9">
        <v>17.88</v>
      </c>
      <c r="J596" s="7" t="s">
        <v>134</v>
      </c>
      <c r="K596" s="7" t="s">
        <v>864</v>
      </c>
      <c r="L596" s="11" t="str">
        <f>HYPERLINK("http://slimages.macys.com/is/image/MCY/14023190 ")</f>
        <v xml:space="preserve">http://slimages.macys.com/is/image/MCY/14023190 </v>
      </c>
    </row>
    <row r="597" spans="1:12" ht="72" x14ac:dyDescent="0.25">
      <c r="A597" s="10" t="s">
        <v>81</v>
      </c>
      <c r="B597" s="7" t="s">
        <v>76</v>
      </c>
      <c r="C597" s="8">
        <v>1</v>
      </c>
      <c r="D597" s="9">
        <v>102.85</v>
      </c>
      <c r="E597" s="9">
        <v>268</v>
      </c>
      <c r="F597" s="8" t="s">
        <v>77</v>
      </c>
      <c r="G597" s="7"/>
      <c r="H597" s="10" t="s">
        <v>82</v>
      </c>
      <c r="I597" s="9">
        <v>30.855</v>
      </c>
      <c r="J597" s="7" t="s">
        <v>79</v>
      </c>
      <c r="K597" s="7" t="s">
        <v>80</v>
      </c>
      <c r="L597" s="11" t="str">
        <f>HYPERLINK("http://images.bloomingdales.com/is/image/BLM/10556684 ")</f>
        <v xml:space="preserve">http://images.bloomingdales.com/is/image/BLM/10556684 </v>
      </c>
    </row>
    <row r="598" spans="1:12" ht="60" x14ac:dyDescent="0.25">
      <c r="A598" s="10" t="s">
        <v>360</v>
      </c>
      <c r="B598" s="7" t="s">
        <v>361</v>
      </c>
      <c r="C598" s="8">
        <v>1</v>
      </c>
      <c r="D598" s="9">
        <v>40.5</v>
      </c>
      <c r="E598" s="9">
        <v>108</v>
      </c>
      <c r="F598" s="8" t="s">
        <v>362</v>
      </c>
      <c r="G598" s="7"/>
      <c r="H598" s="10" t="s">
        <v>62</v>
      </c>
      <c r="I598" s="9">
        <v>12.15</v>
      </c>
      <c r="J598" s="7" t="s">
        <v>79</v>
      </c>
      <c r="K598" s="7" t="s">
        <v>363</v>
      </c>
      <c r="L598" s="11" t="str">
        <f>HYPERLINK("http://slimages.macys.com/is/image/MCY/15510213 ")</f>
        <v xml:space="preserve">http://slimages.macys.com/is/image/MCY/15510213 </v>
      </c>
    </row>
    <row r="599" spans="1:12" ht="60" x14ac:dyDescent="0.25">
      <c r="A599" s="10" t="s">
        <v>863</v>
      </c>
      <c r="B599" s="7" t="s">
        <v>361</v>
      </c>
      <c r="C599" s="8">
        <v>1</v>
      </c>
      <c r="D599" s="9">
        <v>40.5</v>
      </c>
      <c r="E599" s="9">
        <v>108</v>
      </c>
      <c r="F599" s="8" t="s">
        <v>362</v>
      </c>
      <c r="G599" s="7"/>
      <c r="H599" s="10" t="s">
        <v>53</v>
      </c>
      <c r="I599" s="9">
        <v>12.15</v>
      </c>
      <c r="J599" s="7" t="s">
        <v>79</v>
      </c>
      <c r="K599" s="7" t="s">
        <v>363</v>
      </c>
      <c r="L599" s="11" t="str">
        <f>HYPERLINK("http://slimages.macys.com/is/image/MCY/15510213 ")</f>
        <v xml:space="preserve">http://slimages.macys.com/is/image/MCY/15510213 </v>
      </c>
    </row>
    <row r="600" spans="1:12" ht="60" x14ac:dyDescent="0.25">
      <c r="A600" s="10" t="s">
        <v>862</v>
      </c>
      <c r="B600" s="7" t="s">
        <v>361</v>
      </c>
      <c r="C600" s="8">
        <v>1</v>
      </c>
      <c r="D600" s="9">
        <v>40.5</v>
      </c>
      <c r="E600" s="9">
        <v>108</v>
      </c>
      <c r="F600" s="8" t="s">
        <v>362</v>
      </c>
      <c r="G600" s="7"/>
      <c r="H600" s="10" t="s">
        <v>57</v>
      </c>
      <c r="I600" s="9">
        <v>12.15</v>
      </c>
      <c r="J600" s="7" t="s">
        <v>79</v>
      </c>
      <c r="K600" s="7" t="s">
        <v>363</v>
      </c>
      <c r="L600" s="11" t="str">
        <f>HYPERLINK("http://slimages.macys.com/is/image/MCY/15510213 ")</f>
        <v xml:space="preserve">http://slimages.macys.com/is/image/MCY/15510213 </v>
      </c>
    </row>
    <row r="601" spans="1:12" ht="48" x14ac:dyDescent="0.25">
      <c r="A601" s="10" t="s">
        <v>861</v>
      </c>
      <c r="B601" s="7" t="s">
        <v>860</v>
      </c>
      <c r="C601" s="8">
        <v>1</v>
      </c>
      <c r="D601" s="9">
        <v>49.5</v>
      </c>
      <c r="E601" s="9">
        <v>128</v>
      </c>
      <c r="F601" s="8" t="s">
        <v>859</v>
      </c>
      <c r="G601" s="7" t="s">
        <v>147</v>
      </c>
      <c r="H601" s="10" t="s">
        <v>212</v>
      </c>
      <c r="I601" s="9">
        <v>14.85</v>
      </c>
      <c r="J601" s="7" t="s">
        <v>79</v>
      </c>
      <c r="K601" s="7" t="s">
        <v>378</v>
      </c>
      <c r="L601" s="11" t="str">
        <f>HYPERLINK("http://slimages.macys.com/is/image/MCY/14815944 ")</f>
        <v xml:space="preserve">http://slimages.macys.com/is/image/MCY/14815944 </v>
      </c>
    </row>
    <row r="602" spans="1:12" ht="108" x14ac:dyDescent="0.25">
      <c r="A602" s="10" t="s">
        <v>858</v>
      </c>
      <c r="B602" s="7" t="s">
        <v>274</v>
      </c>
      <c r="C602" s="8">
        <v>1</v>
      </c>
      <c r="D602" s="9">
        <v>54</v>
      </c>
      <c r="E602" s="9">
        <v>159</v>
      </c>
      <c r="F602" s="8" t="s">
        <v>275</v>
      </c>
      <c r="G602" s="7" t="s">
        <v>63</v>
      </c>
      <c r="H602" s="10" t="s">
        <v>30</v>
      </c>
      <c r="I602" s="9">
        <v>16.2</v>
      </c>
      <c r="J602" s="7" t="s">
        <v>54</v>
      </c>
      <c r="K602" s="7" t="s">
        <v>276</v>
      </c>
      <c r="L602" s="11" t="str">
        <f>HYPERLINK("http://slimages.macys.com/is/image/MCY/15163679 ")</f>
        <v xml:space="preserve">http://slimages.macys.com/is/image/MCY/15163679 </v>
      </c>
    </row>
    <row r="603" spans="1:12" ht="108" x14ac:dyDescent="0.25">
      <c r="A603" s="10" t="s">
        <v>857</v>
      </c>
      <c r="B603" s="7" t="s">
        <v>274</v>
      </c>
      <c r="C603" s="8">
        <v>2</v>
      </c>
      <c r="D603" s="9">
        <v>54</v>
      </c>
      <c r="E603" s="9">
        <v>159</v>
      </c>
      <c r="F603" s="8" t="s">
        <v>275</v>
      </c>
      <c r="G603" s="7" t="s">
        <v>63</v>
      </c>
      <c r="H603" s="10" t="s">
        <v>28</v>
      </c>
      <c r="I603" s="9">
        <v>16.2</v>
      </c>
      <c r="J603" s="7" t="s">
        <v>54</v>
      </c>
      <c r="K603" s="7" t="s">
        <v>276</v>
      </c>
      <c r="L603" s="11" t="str">
        <f>HYPERLINK("http://slimages.macys.com/is/image/MCY/15163679 ")</f>
        <v xml:space="preserve">http://slimages.macys.com/is/image/MCY/15163679 </v>
      </c>
    </row>
    <row r="604" spans="1:12" ht="48" x14ac:dyDescent="0.25">
      <c r="A604" s="10" t="s">
        <v>856</v>
      </c>
      <c r="B604" s="7" t="s">
        <v>371</v>
      </c>
      <c r="C604" s="8">
        <v>2</v>
      </c>
      <c r="D604" s="9">
        <v>40</v>
      </c>
      <c r="E604" s="9">
        <v>89.98</v>
      </c>
      <c r="F604" s="8" t="s">
        <v>372</v>
      </c>
      <c r="G604" s="7" t="s">
        <v>114</v>
      </c>
      <c r="H604" s="10" t="s">
        <v>25</v>
      </c>
      <c r="I604" s="9">
        <v>12</v>
      </c>
      <c r="J604" s="7" t="s">
        <v>237</v>
      </c>
      <c r="K604" s="7" t="s">
        <v>219</v>
      </c>
      <c r="L604" s="11" t="str">
        <f>HYPERLINK("http://slimages.macys.com/is/image/MCY/13065955 ")</f>
        <v xml:space="preserve">http://slimages.macys.com/is/image/MCY/13065955 </v>
      </c>
    </row>
    <row r="605" spans="1:12" ht="72" x14ac:dyDescent="0.25">
      <c r="A605" s="10" t="s">
        <v>855</v>
      </c>
      <c r="B605" s="7" t="s">
        <v>854</v>
      </c>
      <c r="C605" s="8">
        <v>1</v>
      </c>
      <c r="D605" s="9">
        <v>53</v>
      </c>
      <c r="E605" s="9">
        <v>134</v>
      </c>
      <c r="F605" s="8" t="s">
        <v>853</v>
      </c>
      <c r="G605" s="7" t="s">
        <v>27</v>
      </c>
      <c r="H605" s="10" t="s">
        <v>25</v>
      </c>
      <c r="I605" s="9">
        <v>15.9</v>
      </c>
      <c r="J605" s="7" t="s">
        <v>237</v>
      </c>
      <c r="K605" s="7" t="s">
        <v>852</v>
      </c>
      <c r="L605" s="11" t="str">
        <f>HYPERLINK("http://slimages.macys.com/is/image/MCY/15107357 ")</f>
        <v xml:space="preserve">http://slimages.macys.com/is/image/MCY/15107357 </v>
      </c>
    </row>
    <row r="606" spans="1:12" ht="48" x14ac:dyDescent="0.25">
      <c r="A606" s="10" t="s">
        <v>851</v>
      </c>
      <c r="B606" s="7" t="s">
        <v>234</v>
      </c>
      <c r="C606" s="8">
        <v>3</v>
      </c>
      <c r="D606" s="9">
        <v>59.6</v>
      </c>
      <c r="E606" s="9">
        <v>144</v>
      </c>
      <c r="F606" s="8" t="s">
        <v>235</v>
      </c>
      <c r="G606" s="7" t="s">
        <v>27</v>
      </c>
      <c r="H606" s="10"/>
      <c r="I606" s="9">
        <v>17.88</v>
      </c>
      <c r="J606" s="7" t="s">
        <v>187</v>
      </c>
      <c r="K606" s="7" t="s">
        <v>219</v>
      </c>
      <c r="L606" s="11" t="str">
        <f>HYPERLINK("http://slimages.macys.com/is/image/MCY/14023405 ")</f>
        <v xml:space="preserve">http://slimages.macys.com/is/image/MCY/14023405 </v>
      </c>
    </row>
    <row r="607" spans="1:12" ht="48" x14ac:dyDescent="0.25">
      <c r="A607" s="10" t="s">
        <v>850</v>
      </c>
      <c r="B607" s="7" t="s">
        <v>234</v>
      </c>
      <c r="C607" s="8">
        <v>1</v>
      </c>
      <c r="D607" s="9">
        <v>59.6</v>
      </c>
      <c r="E607" s="9">
        <v>144</v>
      </c>
      <c r="F607" s="8" t="s">
        <v>235</v>
      </c>
      <c r="G607" s="7" t="s">
        <v>27</v>
      </c>
      <c r="H607" s="10" t="s">
        <v>186</v>
      </c>
      <c r="I607" s="9">
        <v>17.88</v>
      </c>
      <c r="J607" s="7" t="s">
        <v>187</v>
      </c>
      <c r="K607" s="7" t="s">
        <v>219</v>
      </c>
      <c r="L607" s="11" t="str">
        <f>HYPERLINK("http://slimages.macys.com/is/image/MCY/14023405 ")</f>
        <v xml:space="preserve">http://slimages.macys.com/is/image/MCY/14023405 </v>
      </c>
    </row>
    <row r="608" spans="1:12" ht="48" x14ac:dyDescent="0.25">
      <c r="A608" s="10" t="s">
        <v>242</v>
      </c>
      <c r="B608" s="7" t="s">
        <v>234</v>
      </c>
      <c r="C608" s="8">
        <v>1</v>
      </c>
      <c r="D608" s="9">
        <v>59.6</v>
      </c>
      <c r="E608" s="9">
        <v>144</v>
      </c>
      <c r="F608" s="8" t="s">
        <v>235</v>
      </c>
      <c r="G608" s="7" t="s">
        <v>27</v>
      </c>
      <c r="H608" s="10" t="s">
        <v>115</v>
      </c>
      <c r="I608" s="9">
        <v>17.88</v>
      </c>
      <c r="J608" s="7" t="s">
        <v>187</v>
      </c>
      <c r="K608" s="7" t="s">
        <v>219</v>
      </c>
      <c r="L608" s="11" t="str">
        <f>HYPERLINK("http://slimages.macys.com/is/image/MCY/14023405 ")</f>
        <v xml:space="preserve">http://slimages.macys.com/is/image/MCY/14023405 </v>
      </c>
    </row>
    <row r="609" spans="1:12" ht="48" x14ac:dyDescent="0.25">
      <c r="A609" s="10" t="s">
        <v>233</v>
      </c>
      <c r="B609" s="7" t="s">
        <v>234</v>
      </c>
      <c r="C609" s="8">
        <v>3</v>
      </c>
      <c r="D609" s="9">
        <v>59.6</v>
      </c>
      <c r="E609" s="9">
        <v>144</v>
      </c>
      <c r="F609" s="8" t="s">
        <v>235</v>
      </c>
      <c r="G609" s="7" t="s">
        <v>27</v>
      </c>
      <c r="H609" s="10" t="s">
        <v>236</v>
      </c>
      <c r="I609" s="9">
        <v>17.88</v>
      </c>
      <c r="J609" s="7" t="s">
        <v>187</v>
      </c>
      <c r="K609" s="7" t="s">
        <v>219</v>
      </c>
      <c r="L609" s="11" t="str">
        <f>HYPERLINK("http://slimages.macys.com/is/image/MCY/14023405 ")</f>
        <v xml:space="preserve">http://slimages.macys.com/is/image/MCY/14023405 </v>
      </c>
    </row>
    <row r="610" spans="1:12" ht="60" x14ac:dyDescent="0.25">
      <c r="A610" s="10" t="s">
        <v>849</v>
      </c>
      <c r="B610" s="7" t="s">
        <v>255</v>
      </c>
      <c r="C610" s="8">
        <v>1</v>
      </c>
      <c r="D610" s="9">
        <v>55.6</v>
      </c>
      <c r="E610" s="9">
        <v>139</v>
      </c>
      <c r="F610" s="8" t="s">
        <v>256</v>
      </c>
      <c r="G610" s="7" t="s">
        <v>27</v>
      </c>
      <c r="H610" s="10" t="s">
        <v>53</v>
      </c>
      <c r="I610" s="9">
        <v>16.68</v>
      </c>
      <c r="J610" s="7" t="s">
        <v>237</v>
      </c>
      <c r="K610" s="7" t="s">
        <v>257</v>
      </c>
      <c r="L610" s="11" t="str">
        <f>HYPERLINK("http://slimages.macys.com/is/image/MCY/15351664 ")</f>
        <v xml:space="preserve">http://slimages.macys.com/is/image/MCY/15351664 </v>
      </c>
    </row>
    <row r="611" spans="1:12" ht="60" x14ac:dyDescent="0.25">
      <c r="A611" s="10" t="s">
        <v>266</v>
      </c>
      <c r="B611" s="7" t="s">
        <v>255</v>
      </c>
      <c r="C611" s="8">
        <v>1</v>
      </c>
      <c r="D611" s="9">
        <v>55.6</v>
      </c>
      <c r="E611" s="9">
        <v>139</v>
      </c>
      <c r="F611" s="8" t="s">
        <v>256</v>
      </c>
      <c r="G611" s="7" t="s">
        <v>27</v>
      </c>
      <c r="H611" s="10" t="s">
        <v>35</v>
      </c>
      <c r="I611" s="9">
        <v>16.68</v>
      </c>
      <c r="J611" s="7" t="s">
        <v>237</v>
      </c>
      <c r="K611" s="7" t="s">
        <v>257</v>
      </c>
      <c r="L611" s="11" t="str">
        <f>HYPERLINK("http://slimages.macys.com/is/image/MCY/15351664 ")</f>
        <v xml:space="preserve">http://slimages.macys.com/is/image/MCY/15351664 </v>
      </c>
    </row>
    <row r="612" spans="1:12" ht="60" x14ac:dyDescent="0.25">
      <c r="A612" s="10" t="s">
        <v>848</v>
      </c>
      <c r="B612" s="7" t="s">
        <v>255</v>
      </c>
      <c r="C612" s="8">
        <v>1</v>
      </c>
      <c r="D612" s="9">
        <v>55.6</v>
      </c>
      <c r="E612" s="9">
        <v>139</v>
      </c>
      <c r="F612" s="8" t="s">
        <v>256</v>
      </c>
      <c r="G612" s="7" t="s">
        <v>27</v>
      </c>
      <c r="H612" s="10" t="s">
        <v>31</v>
      </c>
      <c r="I612" s="9">
        <v>16.68</v>
      </c>
      <c r="J612" s="7" t="s">
        <v>237</v>
      </c>
      <c r="K612" s="7" t="s">
        <v>257</v>
      </c>
      <c r="L612" s="11" t="str">
        <f>HYPERLINK("http://slimages.macys.com/is/image/MCY/15351664 ")</f>
        <v xml:space="preserve">http://slimages.macys.com/is/image/MCY/15351664 </v>
      </c>
    </row>
    <row r="613" spans="1:12" ht="60" x14ac:dyDescent="0.25">
      <c r="A613" s="10" t="s">
        <v>847</v>
      </c>
      <c r="B613" s="7" t="s">
        <v>846</v>
      </c>
      <c r="C613" s="8">
        <v>1</v>
      </c>
      <c r="D613" s="9">
        <v>68.040000000000006</v>
      </c>
      <c r="E613" s="9">
        <v>155</v>
      </c>
      <c r="F613" s="8">
        <v>254768841001</v>
      </c>
      <c r="G613" s="7" t="s">
        <v>184</v>
      </c>
      <c r="H613" s="10" t="s">
        <v>68</v>
      </c>
      <c r="I613" s="9">
        <v>20.411999999999999</v>
      </c>
      <c r="J613" s="7" t="s">
        <v>134</v>
      </c>
      <c r="K613" s="7" t="s">
        <v>845</v>
      </c>
      <c r="L613" s="11" t="str">
        <f>HYPERLINK("http://slimages.macys.com/is/image/MCY/14857383 ")</f>
        <v xml:space="preserve">http://slimages.macys.com/is/image/MCY/14857383 </v>
      </c>
    </row>
    <row r="614" spans="1:12" ht="60" x14ac:dyDescent="0.25">
      <c r="A614" s="10" t="s">
        <v>844</v>
      </c>
      <c r="B614" s="7" t="s">
        <v>843</v>
      </c>
      <c r="C614" s="8">
        <v>1</v>
      </c>
      <c r="D614" s="9">
        <v>43.6</v>
      </c>
      <c r="E614" s="9">
        <v>109</v>
      </c>
      <c r="F614" s="8" t="s">
        <v>842</v>
      </c>
      <c r="G614" s="7" t="s">
        <v>27</v>
      </c>
      <c r="H614" s="10" t="s">
        <v>729</v>
      </c>
      <c r="I614" s="9">
        <v>13.08</v>
      </c>
      <c r="J614" s="7" t="s">
        <v>187</v>
      </c>
      <c r="K614" s="7" t="s">
        <v>36</v>
      </c>
      <c r="L614" s="11" t="str">
        <f>HYPERLINK("http://slimages.macys.com/is/image/MCY/14463674 ")</f>
        <v xml:space="preserve">http://slimages.macys.com/is/image/MCY/14463674 </v>
      </c>
    </row>
    <row r="615" spans="1:12" ht="60" x14ac:dyDescent="0.25">
      <c r="A615" s="10" t="s">
        <v>841</v>
      </c>
      <c r="B615" s="7" t="s">
        <v>473</v>
      </c>
      <c r="C615" s="8">
        <v>1</v>
      </c>
      <c r="D615" s="9">
        <v>24</v>
      </c>
      <c r="E615" s="9">
        <v>79</v>
      </c>
      <c r="F615" s="8" t="s">
        <v>474</v>
      </c>
      <c r="G615" s="7" t="s">
        <v>60</v>
      </c>
      <c r="H615" s="10" t="s">
        <v>441</v>
      </c>
      <c r="I615" s="9">
        <v>7.2</v>
      </c>
      <c r="J615" s="7" t="s">
        <v>475</v>
      </c>
      <c r="K615" s="7" t="s">
        <v>100</v>
      </c>
      <c r="L615" s="11" t="str">
        <f>HYPERLINK("http://slimages.macys.com/is/image/MCY/15146552 ")</f>
        <v xml:space="preserve">http://slimages.macys.com/is/image/MCY/15146552 </v>
      </c>
    </row>
    <row r="616" spans="1:12" ht="48" x14ac:dyDescent="0.25">
      <c r="A616" s="10" t="s">
        <v>840</v>
      </c>
      <c r="B616" s="7" t="s">
        <v>605</v>
      </c>
      <c r="C616" s="8">
        <v>2</v>
      </c>
      <c r="D616" s="9">
        <v>22.5</v>
      </c>
      <c r="E616" s="9">
        <v>69</v>
      </c>
      <c r="F616" s="8" t="s">
        <v>604</v>
      </c>
      <c r="G616" s="7" t="s">
        <v>63</v>
      </c>
      <c r="H616" s="10" t="s">
        <v>441</v>
      </c>
      <c r="I616" s="9">
        <v>6.75</v>
      </c>
      <c r="J616" s="7" t="s">
        <v>475</v>
      </c>
      <c r="K616" s="7" t="s">
        <v>61</v>
      </c>
      <c r="L616" s="11" t="str">
        <f>HYPERLINK("http://slimages.macys.com/is/image/MCY/15416769 ")</f>
        <v xml:space="preserve">http://slimages.macys.com/is/image/MCY/15416769 </v>
      </c>
    </row>
    <row r="617" spans="1:12" ht="48" x14ac:dyDescent="0.25">
      <c r="A617" s="10" t="s">
        <v>839</v>
      </c>
      <c r="B617" s="7" t="s">
        <v>605</v>
      </c>
      <c r="C617" s="8">
        <v>1</v>
      </c>
      <c r="D617" s="9">
        <v>22.5</v>
      </c>
      <c r="E617" s="9">
        <v>69</v>
      </c>
      <c r="F617" s="8" t="s">
        <v>604</v>
      </c>
      <c r="G617" s="7" t="s">
        <v>63</v>
      </c>
      <c r="H617" s="10" t="s">
        <v>405</v>
      </c>
      <c r="I617" s="9">
        <v>6.75</v>
      </c>
      <c r="J617" s="7" t="s">
        <v>475</v>
      </c>
      <c r="K617" s="7" t="s">
        <v>61</v>
      </c>
      <c r="L617" s="11" t="str">
        <f>HYPERLINK("http://slimages.macys.com/is/image/MCY/15416769 ")</f>
        <v xml:space="preserve">http://slimages.macys.com/is/image/MCY/15416769 </v>
      </c>
    </row>
    <row r="618" spans="1:12" ht="48" x14ac:dyDescent="0.25">
      <c r="A618" s="10" t="s">
        <v>838</v>
      </c>
      <c r="B618" s="7" t="s">
        <v>603</v>
      </c>
      <c r="C618" s="8">
        <v>1</v>
      </c>
      <c r="D618" s="9">
        <v>22.5</v>
      </c>
      <c r="E618" s="9">
        <v>49.98</v>
      </c>
      <c r="F618" s="8" t="s">
        <v>602</v>
      </c>
      <c r="G618" s="7" t="s">
        <v>27</v>
      </c>
      <c r="H618" s="10" t="s">
        <v>409</v>
      </c>
      <c r="I618" s="9">
        <v>6.75</v>
      </c>
      <c r="J618" s="7" t="s">
        <v>187</v>
      </c>
      <c r="K618" s="7" t="s">
        <v>219</v>
      </c>
      <c r="L618" s="11" t="str">
        <f>HYPERLINK("http://slimages.macys.com/is/image/MCY/10470649 ")</f>
        <v xml:space="preserve">http://slimages.macys.com/is/image/MCY/10470649 </v>
      </c>
    </row>
    <row r="619" spans="1:12" ht="60" x14ac:dyDescent="0.25">
      <c r="A619" s="10" t="s">
        <v>837</v>
      </c>
      <c r="B619" s="7" t="s">
        <v>836</v>
      </c>
      <c r="C619" s="8">
        <v>1</v>
      </c>
      <c r="D619" s="9">
        <v>42</v>
      </c>
      <c r="E619" s="9">
        <v>139</v>
      </c>
      <c r="F619" s="8" t="s">
        <v>835</v>
      </c>
      <c r="G619" s="7" t="s">
        <v>49</v>
      </c>
      <c r="H619" s="10" t="s">
        <v>657</v>
      </c>
      <c r="I619" s="9">
        <v>12.6</v>
      </c>
      <c r="J619" s="7" t="s">
        <v>187</v>
      </c>
      <c r="K619" s="7" t="s">
        <v>36</v>
      </c>
      <c r="L619" s="11" t="str">
        <f>HYPERLINK("http://slimages.macys.com/is/image/MCY/15067837 ")</f>
        <v xml:space="preserve">http://slimages.macys.com/is/image/MCY/15067837 </v>
      </c>
    </row>
    <row r="620" spans="1:12" ht="72" x14ac:dyDescent="0.25">
      <c r="A620" s="10" t="s">
        <v>438</v>
      </c>
      <c r="B620" s="7" t="s">
        <v>435</v>
      </c>
      <c r="C620" s="8">
        <v>1</v>
      </c>
      <c r="D620" s="9">
        <v>31.6</v>
      </c>
      <c r="E620" s="9">
        <v>79</v>
      </c>
      <c r="F620" s="8" t="s">
        <v>436</v>
      </c>
      <c r="G620" s="7" t="s">
        <v>147</v>
      </c>
      <c r="H620" s="10" t="s">
        <v>132</v>
      </c>
      <c r="I620" s="9">
        <v>9.48</v>
      </c>
      <c r="J620" s="7" t="s">
        <v>75</v>
      </c>
      <c r="K620" s="7" t="s">
        <v>437</v>
      </c>
      <c r="L620" s="11" t="str">
        <f>HYPERLINK("http://slimages.macys.com/is/image/MCY/14635531 ")</f>
        <v xml:space="preserve">http://slimages.macys.com/is/image/MCY/14635531 </v>
      </c>
    </row>
    <row r="621" spans="1:12" ht="72" x14ac:dyDescent="0.25">
      <c r="A621" s="10" t="s">
        <v>834</v>
      </c>
      <c r="B621" s="7" t="s">
        <v>435</v>
      </c>
      <c r="C621" s="8">
        <v>2</v>
      </c>
      <c r="D621" s="9">
        <v>31.6</v>
      </c>
      <c r="E621" s="9">
        <v>79</v>
      </c>
      <c r="F621" s="8" t="s">
        <v>436</v>
      </c>
      <c r="G621" s="7" t="s">
        <v>147</v>
      </c>
      <c r="H621" s="10" t="s">
        <v>285</v>
      </c>
      <c r="I621" s="9">
        <v>9.48</v>
      </c>
      <c r="J621" s="7" t="s">
        <v>75</v>
      </c>
      <c r="K621" s="7" t="s">
        <v>437</v>
      </c>
      <c r="L621" s="11" t="str">
        <f>HYPERLINK("http://slimages.macys.com/is/image/MCY/14635531 ")</f>
        <v xml:space="preserve">http://slimages.macys.com/is/image/MCY/14635531 </v>
      </c>
    </row>
    <row r="622" spans="1:12" ht="72" x14ac:dyDescent="0.25">
      <c r="A622" s="10" t="s">
        <v>439</v>
      </c>
      <c r="B622" s="7" t="s">
        <v>435</v>
      </c>
      <c r="C622" s="8">
        <v>1</v>
      </c>
      <c r="D622" s="9">
        <v>31.6</v>
      </c>
      <c r="E622" s="9">
        <v>79</v>
      </c>
      <c r="F622" s="8" t="s">
        <v>436</v>
      </c>
      <c r="G622" s="7" t="s">
        <v>147</v>
      </c>
      <c r="H622" s="10" t="s">
        <v>78</v>
      </c>
      <c r="I622" s="9">
        <v>9.48</v>
      </c>
      <c r="J622" s="7" t="s">
        <v>75</v>
      </c>
      <c r="K622" s="7" t="s">
        <v>437</v>
      </c>
      <c r="L622" s="11" t="str">
        <f>HYPERLINK("http://slimages.macys.com/is/image/MCY/14635531 ")</f>
        <v xml:space="preserve">http://slimages.macys.com/is/image/MCY/14635531 </v>
      </c>
    </row>
    <row r="623" spans="1:12" ht="72" x14ac:dyDescent="0.25">
      <c r="A623" s="10" t="s">
        <v>833</v>
      </c>
      <c r="B623" s="7" t="s">
        <v>435</v>
      </c>
      <c r="C623" s="8">
        <v>1</v>
      </c>
      <c r="D623" s="9">
        <v>31.6</v>
      </c>
      <c r="E623" s="9">
        <v>79</v>
      </c>
      <c r="F623" s="8" t="s">
        <v>436</v>
      </c>
      <c r="G623" s="7" t="s">
        <v>114</v>
      </c>
      <c r="H623" s="10" t="s">
        <v>212</v>
      </c>
      <c r="I623" s="9">
        <v>9.48</v>
      </c>
      <c r="J623" s="7" t="s">
        <v>75</v>
      </c>
      <c r="K623" s="7" t="s">
        <v>437</v>
      </c>
      <c r="L623" s="11" t="str">
        <f>HYPERLINK("http://slimages.macys.com/is/image/MCY/14635531 ")</f>
        <v xml:space="preserve">http://slimages.macys.com/is/image/MCY/14635531 </v>
      </c>
    </row>
    <row r="624" spans="1:12" ht="48" x14ac:dyDescent="0.25">
      <c r="A624" s="10" t="s">
        <v>832</v>
      </c>
      <c r="B624" s="7" t="s">
        <v>831</v>
      </c>
      <c r="C624" s="8">
        <v>1</v>
      </c>
      <c r="D624" s="9">
        <v>53</v>
      </c>
      <c r="E624" s="9">
        <v>134</v>
      </c>
      <c r="F624" s="8" t="s">
        <v>830</v>
      </c>
      <c r="G624" s="7" t="s">
        <v>27</v>
      </c>
      <c r="H624" s="10" t="s">
        <v>30</v>
      </c>
      <c r="I624" s="9">
        <v>15.9</v>
      </c>
      <c r="J624" s="7" t="s">
        <v>237</v>
      </c>
      <c r="K624" s="7" t="s">
        <v>219</v>
      </c>
      <c r="L624" s="11" t="str">
        <f>HYPERLINK("http://slimages.macys.com/is/image/MCY/14023110 ")</f>
        <v xml:space="preserve">http://slimages.macys.com/is/image/MCY/14023110 </v>
      </c>
    </row>
    <row r="625" spans="1:12" ht="48" x14ac:dyDescent="0.25">
      <c r="A625" s="10" t="s">
        <v>829</v>
      </c>
      <c r="B625" s="7" t="s">
        <v>295</v>
      </c>
      <c r="C625" s="8">
        <v>1</v>
      </c>
      <c r="D625" s="9">
        <v>52.5</v>
      </c>
      <c r="E625" s="9">
        <v>125</v>
      </c>
      <c r="F625" s="8">
        <v>251768175001</v>
      </c>
      <c r="G625" s="7" t="s">
        <v>27</v>
      </c>
      <c r="H625" s="10" t="s">
        <v>191</v>
      </c>
      <c r="I625" s="9">
        <v>15.75</v>
      </c>
      <c r="J625" s="7" t="s">
        <v>134</v>
      </c>
      <c r="K625" s="7" t="s">
        <v>296</v>
      </c>
      <c r="L625" s="11" t="str">
        <f>HYPERLINK("http://slimages.macys.com/is/image/MCY/14770082 ")</f>
        <v xml:space="preserve">http://slimages.macys.com/is/image/MCY/14770082 </v>
      </c>
    </row>
    <row r="626" spans="1:12" ht="48" x14ac:dyDescent="0.25">
      <c r="A626" s="10" t="s">
        <v>828</v>
      </c>
      <c r="B626" s="7" t="s">
        <v>295</v>
      </c>
      <c r="C626" s="8">
        <v>1</v>
      </c>
      <c r="D626" s="9">
        <v>52.5</v>
      </c>
      <c r="E626" s="9">
        <v>125</v>
      </c>
      <c r="F626" s="8">
        <v>251768175001</v>
      </c>
      <c r="G626" s="7" t="s">
        <v>27</v>
      </c>
      <c r="H626" s="10" t="s">
        <v>102</v>
      </c>
      <c r="I626" s="9">
        <v>15.75</v>
      </c>
      <c r="J626" s="7" t="s">
        <v>134</v>
      </c>
      <c r="K626" s="7" t="s">
        <v>296</v>
      </c>
      <c r="L626" s="11" t="str">
        <f>HYPERLINK("http://slimages.macys.com/is/image/MCY/14770082 ")</f>
        <v xml:space="preserve">http://slimages.macys.com/is/image/MCY/14770082 </v>
      </c>
    </row>
    <row r="627" spans="1:12" ht="48" x14ac:dyDescent="0.25">
      <c r="A627" s="10" t="s">
        <v>827</v>
      </c>
      <c r="B627" s="7" t="s">
        <v>332</v>
      </c>
      <c r="C627" s="8">
        <v>1</v>
      </c>
      <c r="D627" s="9">
        <v>45.78</v>
      </c>
      <c r="E627" s="9">
        <v>109</v>
      </c>
      <c r="F627" s="8">
        <v>250787412001</v>
      </c>
      <c r="G627" s="7" t="s">
        <v>184</v>
      </c>
      <c r="H627" s="10" t="s">
        <v>53</v>
      </c>
      <c r="I627" s="9">
        <v>13.734</v>
      </c>
      <c r="J627" s="7" t="s">
        <v>137</v>
      </c>
      <c r="K627" s="7" t="s">
        <v>174</v>
      </c>
      <c r="L627" s="11" t="str">
        <f>HYPERLINK("http://slimages.macys.com/is/image/MCY/15361046 ")</f>
        <v xml:space="preserve">http://slimages.macys.com/is/image/MCY/15361046 </v>
      </c>
    </row>
    <row r="628" spans="1:12" ht="48" x14ac:dyDescent="0.25">
      <c r="A628" s="10" t="s">
        <v>826</v>
      </c>
      <c r="B628" s="7" t="s">
        <v>332</v>
      </c>
      <c r="C628" s="8">
        <v>1</v>
      </c>
      <c r="D628" s="9">
        <v>45.78</v>
      </c>
      <c r="E628" s="9">
        <v>109</v>
      </c>
      <c r="F628" s="8">
        <v>250787412001</v>
      </c>
      <c r="G628" s="7" t="s">
        <v>184</v>
      </c>
      <c r="H628" s="10" t="s">
        <v>62</v>
      </c>
      <c r="I628" s="9">
        <v>13.734</v>
      </c>
      <c r="J628" s="7" t="s">
        <v>137</v>
      </c>
      <c r="K628" s="7" t="s">
        <v>174</v>
      </c>
      <c r="L628" s="11" t="str">
        <f>HYPERLINK("http://slimages.macys.com/is/image/MCY/15361046 ")</f>
        <v xml:space="preserve">http://slimages.macys.com/is/image/MCY/15361046 </v>
      </c>
    </row>
    <row r="629" spans="1:12" ht="48" x14ac:dyDescent="0.25">
      <c r="A629" s="10" t="s">
        <v>825</v>
      </c>
      <c r="B629" s="7" t="s">
        <v>303</v>
      </c>
      <c r="C629" s="8">
        <v>1</v>
      </c>
      <c r="D629" s="9">
        <v>51.8</v>
      </c>
      <c r="E629" s="9">
        <v>148</v>
      </c>
      <c r="F629" s="8" t="s">
        <v>304</v>
      </c>
      <c r="G629" s="7" t="s">
        <v>305</v>
      </c>
      <c r="H629" s="10" t="s">
        <v>25</v>
      </c>
      <c r="I629" s="9">
        <v>15.54</v>
      </c>
      <c r="J629" s="7" t="s">
        <v>182</v>
      </c>
      <c r="K629" s="7" t="s">
        <v>72</v>
      </c>
      <c r="L629" s="11" t="str">
        <f>HYPERLINK("http://slimages.macys.com/is/image/MCY/14369038 ")</f>
        <v xml:space="preserve">http://slimages.macys.com/is/image/MCY/14369038 </v>
      </c>
    </row>
    <row r="630" spans="1:12" ht="48" x14ac:dyDescent="0.25">
      <c r="A630" s="10" t="s">
        <v>824</v>
      </c>
      <c r="B630" s="7" t="s">
        <v>823</v>
      </c>
      <c r="C630" s="8">
        <v>1</v>
      </c>
      <c r="D630" s="9">
        <v>46</v>
      </c>
      <c r="E630" s="9">
        <v>139</v>
      </c>
      <c r="F630" s="8" t="s">
        <v>822</v>
      </c>
      <c r="G630" s="7" t="s">
        <v>326</v>
      </c>
      <c r="H630" s="10" t="s">
        <v>442</v>
      </c>
      <c r="I630" s="9">
        <v>13.8</v>
      </c>
      <c r="J630" s="7" t="s">
        <v>382</v>
      </c>
      <c r="K630" s="7" t="s">
        <v>52</v>
      </c>
      <c r="L630" s="11" t="str">
        <f>HYPERLINK("http://slimages.macys.com/is/image/MCY/14579976 ")</f>
        <v xml:space="preserve">http://slimages.macys.com/is/image/MCY/14579976 </v>
      </c>
    </row>
    <row r="631" spans="1:12" ht="48" x14ac:dyDescent="0.25">
      <c r="A631" s="10" t="s">
        <v>821</v>
      </c>
      <c r="B631" s="7" t="s">
        <v>675</v>
      </c>
      <c r="C631" s="8">
        <v>1</v>
      </c>
      <c r="D631" s="9">
        <v>51.6</v>
      </c>
      <c r="E631" s="9">
        <v>129</v>
      </c>
      <c r="F631" s="8" t="s">
        <v>674</v>
      </c>
      <c r="G631" s="7" t="s">
        <v>117</v>
      </c>
      <c r="H631" s="10" t="s">
        <v>31</v>
      </c>
      <c r="I631" s="9">
        <v>15.48</v>
      </c>
      <c r="J631" s="7" t="s">
        <v>249</v>
      </c>
      <c r="K631" s="7" t="s">
        <v>219</v>
      </c>
      <c r="L631" s="11" t="str">
        <f>HYPERLINK("http://slimages.macys.com/is/image/MCY/15830768 ")</f>
        <v xml:space="preserve">http://slimages.macys.com/is/image/MCY/15830768 </v>
      </c>
    </row>
    <row r="632" spans="1:12" ht="48" x14ac:dyDescent="0.25">
      <c r="A632" s="10" t="s">
        <v>820</v>
      </c>
      <c r="B632" s="7" t="s">
        <v>675</v>
      </c>
      <c r="C632" s="8">
        <v>1</v>
      </c>
      <c r="D632" s="9">
        <v>43.6</v>
      </c>
      <c r="E632" s="9">
        <v>109</v>
      </c>
      <c r="F632" s="8" t="s">
        <v>819</v>
      </c>
      <c r="G632" s="7" t="s">
        <v>131</v>
      </c>
      <c r="H632" s="10" t="s">
        <v>31</v>
      </c>
      <c r="I632" s="9">
        <v>13.08</v>
      </c>
      <c r="J632" s="7" t="s">
        <v>249</v>
      </c>
      <c r="K632" s="7" t="s">
        <v>219</v>
      </c>
      <c r="L632" s="11" t="str">
        <f>HYPERLINK("http://slimages.macys.com/is/image/MCY/15862733 ")</f>
        <v xml:space="preserve">http://slimages.macys.com/is/image/MCY/15862733 </v>
      </c>
    </row>
    <row r="633" spans="1:12" ht="96" x14ac:dyDescent="0.25">
      <c r="A633" s="10" t="s">
        <v>818</v>
      </c>
      <c r="B633" s="7" t="s">
        <v>817</v>
      </c>
      <c r="C633" s="8">
        <v>1</v>
      </c>
      <c r="D633" s="9">
        <v>55.3</v>
      </c>
      <c r="E633" s="9">
        <v>158</v>
      </c>
      <c r="F633" s="8" t="s">
        <v>816</v>
      </c>
      <c r="G633" s="7" t="s">
        <v>114</v>
      </c>
      <c r="H633" s="10" t="s">
        <v>89</v>
      </c>
      <c r="I633" s="9">
        <v>16.59</v>
      </c>
      <c r="J633" s="7" t="s">
        <v>79</v>
      </c>
      <c r="K633" s="7" t="s">
        <v>815</v>
      </c>
      <c r="L633" s="11" t="str">
        <f>HYPERLINK("http://slimages.macys.com/is/image/MCY/14350745 ")</f>
        <v xml:space="preserve">http://slimages.macys.com/is/image/MCY/14350745 </v>
      </c>
    </row>
    <row r="634" spans="1:12" ht="72" x14ac:dyDescent="0.25">
      <c r="A634" s="10" t="s">
        <v>814</v>
      </c>
      <c r="B634" s="7" t="s">
        <v>813</v>
      </c>
      <c r="C634" s="8">
        <v>1</v>
      </c>
      <c r="D634" s="9">
        <v>51.35</v>
      </c>
      <c r="E634" s="9">
        <v>179</v>
      </c>
      <c r="F634" s="8" t="s">
        <v>812</v>
      </c>
      <c r="G634" s="7" t="s">
        <v>67</v>
      </c>
      <c r="H634" s="10" t="s">
        <v>25</v>
      </c>
      <c r="I634" s="9">
        <v>15.404999999999999</v>
      </c>
      <c r="J634" s="7" t="s">
        <v>118</v>
      </c>
      <c r="K634" s="7" t="s">
        <v>811</v>
      </c>
      <c r="L634" s="11" t="str">
        <f>HYPERLINK("http://slimages.macys.com/is/image/MCY/13635390 ")</f>
        <v xml:space="preserve">http://slimages.macys.com/is/image/MCY/13635390 </v>
      </c>
    </row>
    <row r="635" spans="1:12" ht="48" x14ac:dyDescent="0.25">
      <c r="A635" s="10" t="s">
        <v>810</v>
      </c>
      <c r="B635" s="7" t="s">
        <v>518</v>
      </c>
      <c r="C635" s="8">
        <v>1</v>
      </c>
      <c r="D635" s="9">
        <v>18</v>
      </c>
      <c r="E635" s="9">
        <v>39.979999999999997</v>
      </c>
      <c r="F635" s="8" t="s">
        <v>519</v>
      </c>
      <c r="G635" s="7" t="s">
        <v>147</v>
      </c>
      <c r="H635" s="10" t="s">
        <v>212</v>
      </c>
      <c r="I635" s="9">
        <v>5.4</v>
      </c>
      <c r="J635" s="7" t="s">
        <v>237</v>
      </c>
      <c r="K635" s="7" t="s">
        <v>520</v>
      </c>
      <c r="L635" s="11" t="str">
        <f>HYPERLINK("http://slimages.macys.com/is/image/MCY/11923158 ")</f>
        <v xml:space="preserve">http://slimages.macys.com/is/image/MCY/11923158 </v>
      </c>
    </row>
    <row r="636" spans="1:12" ht="48" x14ac:dyDescent="0.25">
      <c r="A636" s="10" t="s">
        <v>809</v>
      </c>
      <c r="B636" s="7" t="s">
        <v>808</v>
      </c>
      <c r="C636" s="8">
        <v>2</v>
      </c>
      <c r="D636" s="9">
        <v>39</v>
      </c>
      <c r="E636" s="9">
        <v>89.98</v>
      </c>
      <c r="F636" s="8" t="s">
        <v>807</v>
      </c>
      <c r="G636" s="7" t="s">
        <v>37</v>
      </c>
      <c r="H636" s="10" t="s">
        <v>68</v>
      </c>
      <c r="I636" s="9">
        <v>11.7</v>
      </c>
      <c r="J636" s="7" t="s">
        <v>134</v>
      </c>
      <c r="K636" s="7"/>
      <c r="L636" s="11" t="str">
        <f>HYPERLINK("http://slimages.macys.com/is/image/MCY/1588190 ")</f>
        <v xml:space="preserve">http://slimages.macys.com/is/image/MCY/1588190 </v>
      </c>
    </row>
    <row r="637" spans="1:12" ht="48" x14ac:dyDescent="0.25">
      <c r="A637" s="10" t="s">
        <v>806</v>
      </c>
      <c r="B637" s="7" t="s">
        <v>805</v>
      </c>
      <c r="C637" s="8">
        <v>1</v>
      </c>
      <c r="D637" s="9">
        <v>40</v>
      </c>
      <c r="E637" s="9">
        <v>108</v>
      </c>
      <c r="F637" s="8" t="s">
        <v>804</v>
      </c>
      <c r="G637" s="7" t="s">
        <v>184</v>
      </c>
      <c r="H637" s="10" t="s">
        <v>31</v>
      </c>
      <c r="I637" s="9">
        <v>12</v>
      </c>
      <c r="J637" s="7" t="s">
        <v>79</v>
      </c>
      <c r="K637" s="7" t="s">
        <v>803</v>
      </c>
      <c r="L637" s="11" t="str">
        <f>HYPERLINK("http://slimages.macys.com/is/image/MCY/14737851 ")</f>
        <v xml:space="preserve">http://slimages.macys.com/is/image/MCY/14737851 </v>
      </c>
    </row>
    <row r="638" spans="1:12" ht="72" x14ac:dyDescent="0.25">
      <c r="A638" s="10" t="s">
        <v>802</v>
      </c>
      <c r="B638" s="7" t="s">
        <v>220</v>
      </c>
      <c r="C638" s="8">
        <v>1</v>
      </c>
      <c r="D638" s="9">
        <v>61.2</v>
      </c>
      <c r="E638" s="9">
        <v>148</v>
      </c>
      <c r="F638" s="8" t="s">
        <v>221</v>
      </c>
      <c r="G638" s="7" t="s">
        <v>27</v>
      </c>
      <c r="H638" s="10" t="s">
        <v>53</v>
      </c>
      <c r="I638" s="9">
        <v>18.36</v>
      </c>
      <c r="J638" s="7" t="s">
        <v>79</v>
      </c>
      <c r="K638" s="7" t="s">
        <v>222</v>
      </c>
      <c r="L638" s="11" t="str">
        <f>HYPERLINK("http://slimages.macys.com/is/image/MCY/15328059 ")</f>
        <v xml:space="preserve">http://slimages.macys.com/is/image/MCY/15328059 </v>
      </c>
    </row>
    <row r="639" spans="1:12" ht="48" x14ac:dyDescent="0.25">
      <c r="A639" s="10" t="s">
        <v>801</v>
      </c>
      <c r="B639" s="7" t="s">
        <v>798</v>
      </c>
      <c r="C639" s="8">
        <v>1</v>
      </c>
      <c r="D639" s="9">
        <v>32.4</v>
      </c>
      <c r="E639" s="9">
        <v>108</v>
      </c>
      <c r="F639" s="8" t="s">
        <v>797</v>
      </c>
      <c r="G639" s="7" t="s">
        <v>27</v>
      </c>
      <c r="H639" s="10" t="s">
        <v>53</v>
      </c>
      <c r="I639" s="9">
        <v>9.7200000000000006</v>
      </c>
      <c r="J639" s="7" t="s">
        <v>79</v>
      </c>
      <c r="K639" s="7" t="s">
        <v>588</v>
      </c>
      <c r="L639" s="11" t="str">
        <f>HYPERLINK("http://slimages.macys.com/is/image/MCY/9824594 ")</f>
        <v xml:space="preserve">http://slimages.macys.com/is/image/MCY/9824594 </v>
      </c>
    </row>
    <row r="640" spans="1:12" ht="48" x14ac:dyDescent="0.25">
      <c r="A640" s="10" t="s">
        <v>800</v>
      </c>
      <c r="B640" s="7" t="s">
        <v>798</v>
      </c>
      <c r="C640" s="8">
        <v>1</v>
      </c>
      <c r="D640" s="9">
        <v>32.4</v>
      </c>
      <c r="E640" s="9">
        <v>108</v>
      </c>
      <c r="F640" s="8" t="s">
        <v>797</v>
      </c>
      <c r="G640" s="7" t="s">
        <v>27</v>
      </c>
      <c r="H640" s="10" t="s">
        <v>62</v>
      </c>
      <c r="I640" s="9">
        <v>9.7200000000000006</v>
      </c>
      <c r="J640" s="7" t="s">
        <v>79</v>
      </c>
      <c r="K640" s="7" t="s">
        <v>588</v>
      </c>
      <c r="L640" s="11" t="str">
        <f>HYPERLINK("http://slimages.macys.com/is/image/MCY/9824594 ")</f>
        <v xml:space="preserve">http://slimages.macys.com/is/image/MCY/9824594 </v>
      </c>
    </row>
    <row r="641" spans="1:12" ht="48" x14ac:dyDescent="0.25">
      <c r="A641" s="10" t="s">
        <v>799</v>
      </c>
      <c r="B641" s="7" t="s">
        <v>798</v>
      </c>
      <c r="C641" s="8">
        <v>1</v>
      </c>
      <c r="D641" s="9">
        <v>32.4</v>
      </c>
      <c r="E641" s="9">
        <v>108</v>
      </c>
      <c r="F641" s="8" t="s">
        <v>797</v>
      </c>
      <c r="G641" s="7" t="s">
        <v>27</v>
      </c>
      <c r="H641" s="10" t="s">
        <v>35</v>
      </c>
      <c r="I641" s="9">
        <v>9.7200000000000006</v>
      </c>
      <c r="J641" s="7" t="s">
        <v>79</v>
      </c>
      <c r="K641" s="7" t="s">
        <v>588</v>
      </c>
      <c r="L641" s="11" t="str">
        <f>HYPERLINK("http://slimages.macys.com/is/image/MCY/9824594 ")</f>
        <v xml:space="preserve">http://slimages.macys.com/is/image/MCY/9824594 </v>
      </c>
    </row>
    <row r="642" spans="1:12" ht="72" x14ac:dyDescent="0.25">
      <c r="A642" s="10" t="s">
        <v>277</v>
      </c>
      <c r="B642" s="7" t="s">
        <v>278</v>
      </c>
      <c r="C642" s="8">
        <v>1</v>
      </c>
      <c r="D642" s="9">
        <v>53.1</v>
      </c>
      <c r="E642" s="9">
        <v>138</v>
      </c>
      <c r="F642" s="8" t="s">
        <v>279</v>
      </c>
      <c r="G642" s="7" t="s">
        <v>181</v>
      </c>
      <c r="H642" s="10" t="s">
        <v>53</v>
      </c>
      <c r="I642" s="9">
        <v>15.93</v>
      </c>
      <c r="J642" s="7" t="s">
        <v>79</v>
      </c>
      <c r="K642" s="7" t="s">
        <v>280</v>
      </c>
      <c r="L642" s="11" t="str">
        <f>HYPERLINK("http://slimages.macys.com/is/image/MCY/15510150 ")</f>
        <v xml:space="preserve">http://slimages.macys.com/is/image/MCY/15510150 </v>
      </c>
    </row>
    <row r="643" spans="1:12" ht="72" x14ac:dyDescent="0.25">
      <c r="A643" s="10" t="s">
        <v>796</v>
      </c>
      <c r="B643" s="7" t="s">
        <v>278</v>
      </c>
      <c r="C643" s="8">
        <v>1</v>
      </c>
      <c r="D643" s="9">
        <v>53.1</v>
      </c>
      <c r="E643" s="9">
        <v>138</v>
      </c>
      <c r="F643" s="8" t="s">
        <v>279</v>
      </c>
      <c r="G643" s="7" t="s">
        <v>181</v>
      </c>
      <c r="H643" s="10" t="s">
        <v>25</v>
      </c>
      <c r="I643" s="9">
        <v>15.93</v>
      </c>
      <c r="J643" s="7" t="s">
        <v>79</v>
      </c>
      <c r="K643" s="7" t="s">
        <v>280</v>
      </c>
      <c r="L643" s="11" t="str">
        <f>HYPERLINK("http://slimages.macys.com/is/image/MCY/15510150 ")</f>
        <v xml:space="preserve">http://slimages.macys.com/is/image/MCY/15510150 </v>
      </c>
    </row>
    <row r="644" spans="1:12" ht="72" x14ac:dyDescent="0.25">
      <c r="A644" s="10" t="s">
        <v>795</v>
      </c>
      <c r="B644" s="7" t="s">
        <v>278</v>
      </c>
      <c r="C644" s="8">
        <v>1</v>
      </c>
      <c r="D644" s="9">
        <v>53.1</v>
      </c>
      <c r="E644" s="9">
        <v>138</v>
      </c>
      <c r="F644" s="8" t="s">
        <v>279</v>
      </c>
      <c r="G644" s="7" t="s">
        <v>181</v>
      </c>
      <c r="H644" s="10" t="s">
        <v>62</v>
      </c>
      <c r="I644" s="9">
        <v>15.93</v>
      </c>
      <c r="J644" s="7" t="s">
        <v>79</v>
      </c>
      <c r="K644" s="7" t="s">
        <v>280</v>
      </c>
      <c r="L644" s="11" t="str">
        <f>HYPERLINK("http://slimages.macys.com/is/image/MCY/15510150 ")</f>
        <v xml:space="preserve">http://slimages.macys.com/is/image/MCY/15510150 </v>
      </c>
    </row>
    <row r="645" spans="1:12" ht="72" x14ac:dyDescent="0.25">
      <c r="A645" s="10" t="s">
        <v>794</v>
      </c>
      <c r="B645" s="7" t="s">
        <v>278</v>
      </c>
      <c r="C645" s="8">
        <v>1</v>
      </c>
      <c r="D645" s="9">
        <v>53.1</v>
      </c>
      <c r="E645" s="9">
        <v>138</v>
      </c>
      <c r="F645" s="8" t="s">
        <v>279</v>
      </c>
      <c r="G645" s="7" t="s">
        <v>181</v>
      </c>
      <c r="H645" s="10" t="s">
        <v>28</v>
      </c>
      <c r="I645" s="9">
        <v>15.93</v>
      </c>
      <c r="J645" s="7" t="s">
        <v>79</v>
      </c>
      <c r="K645" s="7" t="s">
        <v>280</v>
      </c>
      <c r="L645" s="11" t="str">
        <f>HYPERLINK("http://slimages.macys.com/is/image/MCY/15510150 ")</f>
        <v xml:space="preserve">http://slimages.macys.com/is/image/MCY/15510150 </v>
      </c>
    </row>
    <row r="646" spans="1:12" ht="48" x14ac:dyDescent="0.25">
      <c r="A646" s="10" t="s">
        <v>793</v>
      </c>
      <c r="B646" s="7" t="s">
        <v>653</v>
      </c>
      <c r="C646" s="8">
        <v>1</v>
      </c>
      <c r="D646" s="9">
        <v>40</v>
      </c>
      <c r="E646" s="9">
        <v>108</v>
      </c>
      <c r="F646" s="8" t="s">
        <v>652</v>
      </c>
      <c r="G646" s="7" t="s">
        <v>189</v>
      </c>
      <c r="H646" s="10" t="s">
        <v>89</v>
      </c>
      <c r="I646" s="9">
        <v>12</v>
      </c>
      <c r="J646" s="7" t="s">
        <v>79</v>
      </c>
      <c r="K646" s="7" t="s">
        <v>61</v>
      </c>
      <c r="L646" s="11" t="str">
        <f>HYPERLINK("http://slimages.macys.com/is/image/MCY/9824592 ")</f>
        <v xml:space="preserve">http://slimages.macys.com/is/image/MCY/9824592 </v>
      </c>
    </row>
    <row r="647" spans="1:12" ht="48" x14ac:dyDescent="0.25">
      <c r="A647" s="10" t="s">
        <v>792</v>
      </c>
      <c r="B647" s="7" t="s">
        <v>281</v>
      </c>
      <c r="C647" s="8">
        <v>1</v>
      </c>
      <c r="D647" s="9">
        <v>47</v>
      </c>
      <c r="E647" s="9">
        <v>128</v>
      </c>
      <c r="F647" s="8" t="s">
        <v>325</v>
      </c>
      <c r="G647" s="7" t="s">
        <v>202</v>
      </c>
      <c r="H647" s="10" t="s">
        <v>62</v>
      </c>
      <c r="I647" s="9">
        <v>14.1</v>
      </c>
      <c r="J647" s="7" t="s">
        <v>79</v>
      </c>
      <c r="K647" s="7" t="s">
        <v>61</v>
      </c>
      <c r="L647" s="11" t="str">
        <f>HYPERLINK("http://slimages.macys.com/is/image/MCY/15253171 ")</f>
        <v xml:space="preserve">http://slimages.macys.com/is/image/MCY/15253171 </v>
      </c>
    </row>
    <row r="648" spans="1:12" ht="60" x14ac:dyDescent="0.25">
      <c r="A648" s="10" t="s">
        <v>791</v>
      </c>
      <c r="B648" s="7" t="s">
        <v>281</v>
      </c>
      <c r="C648" s="8">
        <v>1</v>
      </c>
      <c r="D648" s="9">
        <v>45</v>
      </c>
      <c r="E648" s="9">
        <v>118</v>
      </c>
      <c r="F648" s="8" t="s">
        <v>787</v>
      </c>
      <c r="G648" s="7" t="s">
        <v>184</v>
      </c>
      <c r="H648" s="10" t="s">
        <v>89</v>
      </c>
      <c r="I648" s="9">
        <v>13.5</v>
      </c>
      <c r="J648" s="7" t="s">
        <v>79</v>
      </c>
      <c r="K648" s="7" t="s">
        <v>786</v>
      </c>
      <c r="L648" s="11" t="str">
        <f>HYPERLINK("http://slimages.macys.com/is/image/MCY/14531561 ")</f>
        <v xml:space="preserve">http://slimages.macys.com/is/image/MCY/14531561 </v>
      </c>
    </row>
    <row r="649" spans="1:12" ht="60" x14ac:dyDescent="0.25">
      <c r="A649" s="10" t="s">
        <v>790</v>
      </c>
      <c r="B649" s="7" t="s">
        <v>281</v>
      </c>
      <c r="C649" s="8">
        <v>1</v>
      </c>
      <c r="D649" s="9">
        <v>45</v>
      </c>
      <c r="E649" s="9">
        <v>118</v>
      </c>
      <c r="F649" s="8" t="s">
        <v>787</v>
      </c>
      <c r="G649" s="7" t="s">
        <v>184</v>
      </c>
      <c r="H649" s="10" t="s">
        <v>28</v>
      </c>
      <c r="I649" s="9">
        <v>13.5</v>
      </c>
      <c r="J649" s="7" t="s">
        <v>79</v>
      </c>
      <c r="K649" s="7" t="s">
        <v>786</v>
      </c>
      <c r="L649" s="11" t="str">
        <f>HYPERLINK("http://slimages.macys.com/is/image/MCY/14531561 ")</f>
        <v xml:space="preserve">http://slimages.macys.com/is/image/MCY/14531561 </v>
      </c>
    </row>
    <row r="650" spans="1:12" ht="60" x14ac:dyDescent="0.25">
      <c r="A650" s="10" t="s">
        <v>789</v>
      </c>
      <c r="B650" s="7" t="s">
        <v>281</v>
      </c>
      <c r="C650" s="8">
        <v>1</v>
      </c>
      <c r="D650" s="9">
        <v>45</v>
      </c>
      <c r="E650" s="9">
        <v>118</v>
      </c>
      <c r="F650" s="8" t="s">
        <v>787</v>
      </c>
      <c r="G650" s="7" t="s">
        <v>184</v>
      </c>
      <c r="H650" s="10" t="s">
        <v>62</v>
      </c>
      <c r="I650" s="9">
        <v>13.5</v>
      </c>
      <c r="J650" s="7" t="s">
        <v>79</v>
      </c>
      <c r="K650" s="7" t="s">
        <v>786</v>
      </c>
      <c r="L650" s="11" t="str">
        <f>HYPERLINK("http://slimages.macys.com/is/image/MCY/14531561 ")</f>
        <v xml:space="preserve">http://slimages.macys.com/is/image/MCY/14531561 </v>
      </c>
    </row>
    <row r="651" spans="1:12" ht="60" x14ac:dyDescent="0.25">
      <c r="A651" s="10" t="s">
        <v>788</v>
      </c>
      <c r="B651" s="7" t="s">
        <v>281</v>
      </c>
      <c r="C651" s="8">
        <v>2</v>
      </c>
      <c r="D651" s="9">
        <v>45</v>
      </c>
      <c r="E651" s="9">
        <v>118</v>
      </c>
      <c r="F651" s="8" t="s">
        <v>787</v>
      </c>
      <c r="G651" s="7" t="s">
        <v>184</v>
      </c>
      <c r="H651" s="10" t="s">
        <v>35</v>
      </c>
      <c r="I651" s="9">
        <v>13.5</v>
      </c>
      <c r="J651" s="7" t="s">
        <v>79</v>
      </c>
      <c r="K651" s="7" t="s">
        <v>786</v>
      </c>
      <c r="L651" s="11" t="str">
        <f>HYPERLINK("http://slimages.macys.com/is/image/MCY/14531561 ")</f>
        <v xml:space="preserve">http://slimages.macys.com/is/image/MCY/14531561 </v>
      </c>
    </row>
    <row r="652" spans="1:12" ht="48" x14ac:dyDescent="0.25">
      <c r="A652" s="10" t="s">
        <v>785</v>
      </c>
      <c r="B652" s="7" t="s">
        <v>784</v>
      </c>
      <c r="C652" s="8">
        <v>1</v>
      </c>
      <c r="D652" s="9">
        <v>38.4</v>
      </c>
      <c r="E652" s="9">
        <v>98</v>
      </c>
      <c r="F652" s="8" t="s">
        <v>783</v>
      </c>
      <c r="G652" s="7" t="s">
        <v>211</v>
      </c>
      <c r="H652" s="10" t="s">
        <v>30</v>
      </c>
      <c r="I652" s="9">
        <v>11.52</v>
      </c>
      <c r="J652" s="7" t="s">
        <v>79</v>
      </c>
      <c r="K652" s="7" t="s">
        <v>533</v>
      </c>
      <c r="L652" s="11" t="str">
        <f>HYPERLINK("http://slimages.macys.com/is/image/MCY/15664924 ")</f>
        <v xml:space="preserve">http://slimages.macys.com/is/image/MCY/15664924 </v>
      </c>
    </row>
    <row r="653" spans="1:12" ht="48" x14ac:dyDescent="0.25">
      <c r="A653" s="10" t="s">
        <v>782</v>
      </c>
      <c r="B653" s="7" t="s">
        <v>391</v>
      </c>
      <c r="C653" s="8">
        <v>1</v>
      </c>
      <c r="D653" s="9">
        <v>38.4</v>
      </c>
      <c r="E653" s="9">
        <v>98</v>
      </c>
      <c r="F653" s="8" t="s">
        <v>392</v>
      </c>
      <c r="G653" s="7" t="s">
        <v>184</v>
      </c>
      <c r="H653" s="10" t="s">
        <v>31</v>
      </c>
      <c r="I653" s="9">
        <v>11.52</v>
      </c>
      <c r="J653" s="7" t="s">
        <v>79</v>
      </c>
      <c r="K653" s="7" t="s">
        <v>64</v>
      </c>
      <c r="L653" s="11" t="str">
        <f>HYPERLINK("http://slimages.macys.com/is/image/MCY/10040055 ")</f>
        <v xml:space="preserve">http://slimages.macys.com/is/image/MCY/10040055 </v>
      </c>
    </row>
    <row r="654" spans="1:12" ht="24" x14ac:dyDescent="0.25">
      <c r="A654" s="10" t="s">
        <v>781</v>
      </c>
      <c r="B654" s="7" t="s">
        <v>780</v>
      </c>
      <c r="C654" s="8">
        <v>1</v>
      </c>
      <c r="D654" s="9">
        <v>36</v>
      </c>
      <c r="E654" s="9">
        <v>108</v>
      </c>
      <c r="F654" s="8" t="s">
        <v>779</v>
      </c>
      <c r="G654" s="7"/>
      <c r="H654" s="10" t="s">
        <v>31</v>
      </c>
      <c r="I654" s="9">
        <v>10.8</v>
      </c>
      <c r="J654" s="7" t="s">
        <v>79</v>
      </c>
      <c r="K654" s="7"/>
      <c r="L654" s="11"/>
    </row>
    <row r="655" spans="1:12" ht="48" x14ac:dyDescent="0.25">
      <c r="A655" s="10" t="s">
        <v>778</v>
      </c>
      <c r="B655" s="7" t="s">
        <v>73</v>
      </c>
      <c r="C655" s="8">
        <v>1</v>
      </c>
      <c r="D655" s="9">
        <v>103.2</v>
      </c>
      <c r="E655" s="9">
        <v>279</v>
      </c>
      <c r="F655" s="8" t="s">
        <v>74</v>
      </c>
      <c r="G655" s="7" t="s">
        <v>27</v>
      </c>
      <c r="H655" s="10" t="s">
        <v>30</v>
      </c>
      <c r="I655" s="9">
        <v>30.96</v>
      </c>
      <c r="J655" s="7" t="s">
        <v>75</v>
      </c>
      <c r="K655" s="7" t="s">
        <v>72</v>
      </c>
      <c r="L655" s="11" t="str">
        <f>HYPERLINK("http://slimages.macys.com/is/image/MCY/14703810 ")</f>
        <v xml:space="preserve">http://slimages.macys.com/is/image/MCY/14703810 </v>
      </c>
    </row>
    <row r="656" spans="1:12" ht="60" x14ac:dyDescent="0.25">
      <c r="A656" s="10" t="s">
        <v>777</v>
      </c>
      <c r="B656" s="7" t="s">
        <v>73</v>
      </c>
      <c r="C656" s="8">
        <v>1</v>
      </c>
      <c r="D656" s="9">
        <v>66.2</v>
      </c>
      <c r="E656" s="9">
        <v>179</v>
      </c>
      <c r="F656" s="8" t="s">
        <v>719</v>
      </c>
      <c r="G656" s="7" t="s">
        <v>117</v>
      </c>
      <c r="H656" s="10" t="s">
        <v>28</v>
      </c>
      <c r="I656" s="9">
        <v>19.86</v>
      </c>
      <c r="J656" s="7" t="s">
        <v>75</v>
      </c>
      <c r="K656" s="7" t="s">
        <v>36</v>
      </c>
      <c r="L656" s="11" t="str">
        <f>HYPERLINK("http://slimages.macys.com/is/image/MCY/15009438 ")</f>
        <v xml:space="preserve">http://slimages.macys.com/is/image/MCY/15009438 </v>
      </c>
    </row>
    <row r="657" spans="1:12" ht="60" x14ac:dyDescent="0.25">
      <c r="A657" s="10" t="s">
        <v>720</v>
      </c>
      <c r="B657" s="7" t="s">
        <v>73</v>
      </c>
      <c r="C657" s="8">
        <v>1</v>
      </c>
      <c r="D657" s="9">
        <v>66.2</v>
      </c>
      <c r="E657" s="9">
        <v>179</v>
      </c>
      <c r="F657" s="8" t="s">
        <v>719</v>
      </c>
      <c r="G657" s="7" t="s">
        <v>117</v>
      </c>
      <c r="H657" s="10" t="s">
        <v>30</v>
      </c>
      <c r="I657" s="9">
        <v>19.86</v>
      </c>
      <c r="J657" s="7" t="s">
        <v>75</v>
      </c>
      <c r="K657" s="7" t="s">
        <v>36</v>
      </c>
      <c r="L657" s="11" t="str">
        <f>HYPERLINK("http://slimages.macys.com/is/image/MCY/15009438 ")</f>
        <v xml:space="preserve">http://slimages.macys.com/is/image/MCY/15009438 </v>
      </c>
    </row>
    <row r="658" spans="1:12" ht="60" x14ac:dyDescent="0.25">
      <c r="A658" s="10" t="s">
        <v>776</v>
      </c>
      <c r="B658" s="7" t="s">
        <v>73</v>
      </c>
      <c r="C658" s="8">
        <v>1</v>
      </c>
      <c r="D658" s="9">
        <v>66.2</v>
      </c>
      <c r="E658" s="9">
        <v>179</v>
      </c>
      <c r="F658" s="8" t="s">
        <v>719</v>
      </c>
      <c r="G658" s="7" t="s">
        <v>27</v>
      </c>
      <c r="H658" s="10" t="s">
        <v>25</v>
      </c>
      <c r="I658" s="9">
        <v>19.86</v>
      </c>
      <c r="J658" s="7" t="s">
        <v>75</v>
      </c>
      <c r="K658" s="7" t="s">
        <v>36</v>
      </c>
      <c r="L658" s="11" t="str">
        <f>HYPERLINK("http://slimages.macys.com/is/image/MCY/15009438 ")</f>
        <v xml:space="preserve">http://slimages.macys.com/is/image/MCY/15009438 </v>
      </c>
    </row>
    <row r="659" spans="1:12" ht="60" x14ac:dyDescent="0.25">
      <c r="A659" s="10" t="s">
        <v>775</v>
      </c>
      <c r="B659" s="7" t="s">
        <v>73</v>
      </c>
      <c r="C659" s="8">
        <v>1</v>
      </c>
      <c r="D659" s="9">
        <v>66.2</v>
      </c>
      <c r="E659" s="9">
        <v>179</v>
      </c>
      <c r="F659" s="8" t="s">
        <v>719</v>
      </c>
      <c r="G659" s="7" t="s">
        <v>117</v>
      </c>
      <c r="H659" s="10" t="s">
        <v>35</v>
      </c>
      <c r="I659" s="9">
        <v>19.86</v>
      </c>
      <c r="J659" s="7" t="s">
        <v>75</v>
      </c>
      <c r="K659" s="7" t="s">
        <v>36</v>
      </c>
      <c r="L659" s="11" t="str">
        <f>HYPERLINK("http://slimages.macys.com/is/image/MCY/15009438 ")</f>
        <v xml:space="preserve">http://slimages.macys.com/is/image/MCY/15009438 </v>
      </c>
    </row>
    <row r="660" spans="1:12" ht="60" x14ac:dyDescent="0.25">
      <c r="A660" s="10" t="s">
        <v>774</v>
      </c>
      <c r="B660" s="7" t="s">
        <v>73</v>
      </c>
      <c r="C660" s="8">
        <v>1</v>
      </c>
      <c r="D660" s="9">
        <v>59.6</v>
      </c>
      <c r="E660" s="9">
        <v>149</v>
      </c>
      <c r="F660" s="8" t="s">
        <v>772</v>
      </c>
      <c r="G660" s="7" t="s">
        <v>147</v>
      </c>
      <c r="H660" s="10" t="s">
        <v>28</v>
      </c>
      <c r="I660" s="9">
        <v>17.88</v>
      </c>
      <c r="J660" s="7" t="s">
        <v>237</v>
      </c>
      <c r="K660" s="7" t="s">
        <v>36</v>
      </c>
      <c r="L660" s="11" t="str">
        <f>HYPERLINK("http://slimages.macys.com/is/image/MCY/15351986 ")</f>
        <v xml:space="preserve">http://slimages.macys.com/is/image/MCY/15351986 </v>
      </c>
    </row>
    <row r="661" spans="1:12" ht="60" x14ac:dyDescent="0.25">
      <c r="A661" s="10" t="s">
        <v>773</v>
      </c>
      <c r="B661" s="7" t="s">
        <v>73</v>
      </c>
      <c r="C661" s="8">
        <v>1</v>
      </c>
      <c r="D661" s="9">
        <v>59.6</v>
      </c>
      <c r="E661" s="9">
        <v>149</v>
      </c>
      <c r="F661" s="8" t="s">
        <v>772</v>
      </c>
      <c r="G661" s="7" t="s">
        <v>147</v>
      </c>
      <c r="H661" s="10" t="s">
        <v>62</v>
      </c>
      <c r="I661" s="9">
        <v>17.88</v>
      </c>
      <c r="J661" s="7" t="s">
        <v>237</v>
      </c>
      <c r="K661" s="7" t="s">
        <v>36</v>
      </c>
      <c r="L661" s="11" t="str">
        <f>HYPERLINK("http://slimages.macys.com/is/image/MCY/15351986 ")</f>
        <v xml:space="preserve">http://slimages.macys.com/is/image/MCY/15351986 </v>
      </c>
    </row>
    <row r="662" spans="1:12" ht="48" x14ac:dyDescent="0.25">
      <c r="A662" s="10" t="s">
        <v>771</v>
      </c>
      <c r="B662" s="7" t="s">
        <v>73</v>
      </c>
      <c r="C662" s="8">
        <v>1</v>
      </c>
      <c r="D662" s="9">
        <v>53</v>
      </c>
      <c r="E662" s="9">
        <v>134</v>
      </c>
      <c r="F662" s="8" t="s">
        <v>770</v>
      </c>
      <c r="G662" s="7" t="s">
        <v>117</v>
      </c>
      <c r="H662" s="10" t="s">
        <v>124</v>
      </c>
      <c r="I662" s="9">
        <v>15.9</v>
      </c>
      <c r="J662" s="7" t="s">
        <v>134</v>
      </c>
      <c r="K662" s="7" t="s">
        <v>219</v>
      </c>
      <c r="L662" s="11" t="str">
        <f>HYPERLINK("http://slimages.macys.com/is/image/MCY/9403810 ")</f>
        <v xml:space="preserve">http://slimages.macys.com/is/image/MCY/9403810 </v>
      </c>
    </row>
    <row r="663" spans="1:12" ht="48" x14ac:dyDescent="0.25">
      <c r="A663" s="10" t="s">
        <v>381</v>
      </c>
      <c r="B663" s="7" t="s">
        <v>73</v>
      </c>
      <c r="C663" s="8">
        <v>1</v>
      </c>
      <c r="D663" s="9">
        <v>40</v>
      </c>
      <c r="E663" s="9">
        <v>89.98</v>
      </c>
      <c r="F663" s="8" t="s">
        <v>366</v>
      </c>
      <c r="G663" s="7" t="s">
        <v>45</v>
      </c>
      <c r="H663" s="10" t="s">
        <v>25</v>
      </c>
      <c r="I663" s="9">
        <v>12</v>
      </c>
      <c r="J663" s="7" t="s">
        <v>237</v>
      </c>
      <c r="K663" s="7" t="s">
        <v>219</v>
      </c>
      <c r="L663" s="11" t="str">
        <f>HYPERLINK("http://slimages.macys.com/is/image/MCY/13303939 ")</f>
        <v xml:space="preserve">http://slimages.macys.com/is/image/MCY/13303939 </v>
      </c>
    </row>
    <row r="664" spans="1:12" ht="48" x14ac:dyDescent="0.25">
      <c r="A664" s="10" t="s">
        <v>634</v>
      </c>
      <c r="B664" s="7" t="s">
        <v>73</v>
      </c>
      <c r="C664" s="8">
        <v>1</v>
      </c>
      <c r="D664" s="9">
        <v>40</v>
      </c>
      <c r="E664" s="9">
        <v>89.98</v>
      </c>
      <c r="F664" s="8" t="s">
        <v>633</v>
      </c>
      <c r="G664" s="7" t="s">
        <v>114</v>
      </c>
      <c r="H664" s="10" t="s">
        <v>35</v>
      </c>
      <c r="I664" s="9">
        <v>12</v>
      </c>
      <c r="J664" s="7" t="s">
        <v>237</v>
      </c>
      <c r="K664" s="7" t="s">
        <v>219</v>
      </c>
      <c r="L664" s="11" t="str">
        <f>HYPERLINK("http://slimages.macys.com/is/image/MCY/3696790 ")</f>
        <v xml:space="preserve">http://slimages.macys.com/is/image/MCY/3696790 </v>
      </c>
    </row>
    <row r="665" spans="1:12" ht="48" x14ac:dyDescent="0.25">
      <c r="A665" s="10" t="s">
        <v>642</v>
      </c>
      <c r="B665" s="7" t="s">
        <v>73</v>
      </c>
      <c r="C665" s="8">
        <v>1</v>
      </c>
      <c r="D665" s="9">
        <v>40</v>
      </c>
      <c r="E665" s="9">
        <v>89.98</v>
      </c>
      <c r="F665" s="8" t="s">
        <v>633</v>
      </c>
      <c r="G665" s="7" t="s">
        <v>114</v>
      </c>
      <c r="H665" s="10" t="s">
        <v>25</v>
      </c>
      <c r="I665" s="9">
        <v>12</v>
      </c>
      <c r="J665" s="7" t="s">
        <v>237</v>
      </c>
      <c r="K665" s="7" t="s">
        <v>219</v>
      </c>
      <c r="L665" s="11" t="str">
        <f>HYPERLINK("http://slimages.macys.com/is/image/MCY/3696790 ")</f>
        <v xml:space="preserve">http://slimages.macys.com/is/image/MCY/3696790 </v>
      </c>
    </row>
    <row r="666" spans="1:12" ht="60" x14ac:dyDescent="0.25">
      <c r="A666" s="10" t="s">
        <v>364</v>
      </c>
      <c r="B666" s="7" t="s">
        <v>73</v>
      </c>
      <c r="C666" s="8">
        <v>1</v>
      </c>
      <c r="D666" s="9">
        <v>40</v>
      </c>
      <c r="E666" s="9">
        <v>119</v>
      </c>
      <c r="F666" s="8" t="s">
        <v>365</v>
      </c>
      <c r="G666" s="7" t="s">
        <v>282</v>
      </c>
      <c r="H666" s="10" t="s">
        <v>53</v>
      </c>
      <c r="I666" s="9">
        <v>12</v>
      </c>
      <c r="J666" s="7" t="s">
        <v>237</v>
      </c>
      <c r="K666" s="7" t="s">
        <v>36</v>
      </c>
      <c r="L666" s="11" t="str">
        <f>HYPERLINK("http://slimages.macys.com/is/image/MCY/15393739 ")</f>
        <v xml:space="preserve">http://slimages.macys.com/is/image/MCY/15393739 </v>
      </c>
    </row>
    <row r="667" spans="1:12" ht="48" x14ac:dyDescent="0.25">
      <c r="A667" s="10" t="s">
        <v>769</v>
      </c>
      <c r="B667" s="7" t="s">
        <v>73</v>
      </c>
      <c r="C667" s="8">
        <v>1</v>
      </c>
      <c r="D667" s="9">
        <v>40</v>
      </c>
      <c r="E667" s="9">
        <v>89.98</v>
      </c>
      <c r="F667" s="8" t="s">
        <v>633</v>
      </c>
      <c r="G667" s="7" t="s">
        <v>114</v>
      </c>
      <c r="H667" s="10" t="s">
        <v>57</v>
      </c>
      <c r="I667" s="9">
        <v>12</v>
      </c>
      <c r="J667" s="7" t="s">
        <v>237</v>
      </c>
      <c r="K667" s="7" t="s">
        <v>219</v>
      </c>
      <c r="L667" s="11" t="str">
        <f>HYPERLINK("http://slimages.macys.com/is/image/MCY/3696790 ")</f>
        <v xml:space="preserve">http://slimages.macys.com/is/image/MCY/3696790 </v>
      </c>
    </row>
    <row r="668" spans="1:12" ht="48" x14ac:dyDescent="0.25">
      <c r="A668" s="10" t="s">
        <v>768</v>
      </c>
      <c r="B668" s="7" t="s">
        <v>73</v>
      </c>
      <c r="C668" s="8">
        <v>1</v>
      </c>
      <c r="D668" s="9">
        <v>30.23</v>
      </c>
      <c r="E668" s="9">
        <v>89.98</v>
      </c>
      <c r="F668" s="8" t="s">
        <v>444</v>
      </c>
      <c r="G668" s="7" t="s">
        <v>24</v>
      </c>
      <c r="H668" s="10" t="s">
        <v>57</v>
      </c>
      <c r="I668" s="9">
        <v>9.0690000000000008</v>
      </c>
      <c r="J668" s="7" t="s">
        <v>237</v>
      </c>
      <c r="K668" s="7" t="s">
        <v>219</v>
      </c>
      <c r="L668" s="11" t="str">
        <f>HYPERLINK("http://slimages.macys.com/is/image/MCY/12717446 ")</f>
        <v xml:space="preserve">http://slimages.macys.com/is/image/MCY/12717446 </v>
      </c>
    </row>
    <row r="669" spans="1:12" ht="48" x14ac:dyDescent="0.25">
      <c r="A669" s="10" t="s">
        <v>767</v>
      </c>
      <c r="B669" s="7" t="s">
        <v>73</v>
      </c>
      <c r="C669" s="8">
        <v>1</v>
      </c>
      <c r="D669" s="9">
        <v>30.23</v>
      </c>
      <c r="E669" s="9">
        <v>89.98</v>
      </c>
      <c r="F669" s="8" t="s">
        <v>622</v>
      </c>
      <c r="G669" s="7" t="s">
        <v>147</v>
      </c>
      <c r="H669" s="10" t="s">
        <v>25</v>
      </c>
      <c r="I669" s="9">
        <v>9.0690000000000008</v>
      </c>
      <c r="J669" s="7" t="s">
        <v>237</v>
      </c>
      <c r="K669" s="7" t="s">
        <v>219</v>
      </c>
      <c r="L669" s="11" t="str">
        <f>HYPERLINK("http://slimages.macys.com/is/image/MCY/11699113 ")</f>
        <v xml:space="preserve">http://slimages.macys.com/is/image/MCY/11699113 </v>
      </c>
    </row>
    <row r="670" spans="1:12" ht="48" x14ac:dyDescent="0.25">
      <c r="A670" s="10" t="s">
        <v>625</v>
      </c>
      <c r="B670" s="7" t="s">
        <v>73</v>
      </c>
      <c r="C670" s="8">
        <v>1</v>
      </c>
      <c r="D670" s="9">
        <v>30.23</v>
      </c>
      <c r="E670" s="9">
        <v>89.98</v>
      </c>
      <c r="F670" s="8" t="s">
        <v>444</v>
      </c>
      <c r="G670" s="7" t="s">
        <v>24</v>
      </c>
      <c r="H670" s="10" t="s">
        <v>25</v>
      </c>
      <c r="I670" s="9">
        <v>9.0690000000000008</v>
      </c>
      <c r="J670" s="7" t="s">
        <v>237</v>
      </c>
      <c r="K670" s="7" t="s">
        <v>219</v>
      </c>
      <c r="L670" s="11" t="str">
        <f>HYPERLINK("http://slimages.macys.com/is/image/MCY/12717446 ")</f>
        <v xml:space="preserve">http://slimages.macys.com/is/image/MCY/12717446 </v>
      </c>
    </row>
    <row r="671" spans="1:12" ht="48" x14ac:dyDescent="0.25">
      <c r="A671" s="10" t="s">
        <v>766</v>
      </c>
      <c r="B671" s="7" t="s">
        <v>412</v>
      </c>
      <c r="C671" s="8">
        <v>1</v>
      </c>
      <c r="D671" s="9">
        <v>34.65</v>
      </c>
      <c r="E671" s="9">
        <v>99</v>
      </c>
      <c r="F671" s="8" t="s">
        <v>413</v>
      </c>
      <c r="G671" s="7" t="s">
        <v>117</v>
      </c>
      <c r="H671" s="10" t="s">
        <v>25</v>
      </c>
      <c r="I671" s="9">
        <v>10.395</v>
      </c>
      <c r="J671" s="7" t="s">
        <v>183</v>
      </c>
      <c r="K671" s="7" t="s">
        <v>219</v>
      </c>
      <c r="L671" s="11" t="str">
        <f>HYPERLINK("http://slimages.macys.com/is/image/MCY/13731265 ")</f>
        <v xml:space="preserve">http://slimages.macys.com/is/image/MCY/13731265 </v>
      </c>
    </row>
    <row r="672" spans="1:12" ht="48" x14ac:dyDescent="0.25">
      <c r="A672" s="10" t="s">
        <v>765</v>
      </c>
      <c r="B672" s="7" t="s">
        <v>356</v>
      </c>
      <c r="C672" s="8">
        <v>2</v>
      </c>
      <c r="D672" s="9">
        <v>41.65</v>
      </c>
      <c r="E672" s="9">
        <v>119</v>
      </c>
      <c r="F672" s="8" t="s">
        <v>357</v>
      </c>
      <c r="G672" s="7" t="s">
        <v>114</v>
      </c>
      <c r="H672" s="10" t="s">
        <v>35</v>
      </c>
      <c r="I672" s="9">
        <v>12.494999999999999</v>
      </c>
      <c r="J672" s="7" t="s">
        <v>183</v>
      </c>
      <c r="K672" s="7" t="s">
        <v>219</v>
      </c>
      <c r="L672" s="11" t="str">
        <f>HYPERLINK("http://slimages.macys.com/is/image/MCY/14401256 ")</f>
        <v xml:space="preserve">http://slimages.macys.com/is/image/MCY/14401256 </v>
      </c>
    </row>
    <row r="673" spans="1:12" ht="48" x14ac:dyDescent="0.25">
      <c r="A673" s="10" t="s">
        <v>764</v>
      </c>
      <c r="B673" s="7" t="s">
        <v>356</v>
      </c>
      <c r="C673" s="8">
        <v>2</v>
      </c>
      <c r="D673" s="9">
        <v>34.65</v>
      </c>
      <c r="E673" s="9">
        <v>99</v>
      </c>
      <c r="F673" s="8" t="s">
        <v>763</v>
      </c>
      <c r="G673" s="7" t="s">
        <v>27</v>
      </c>
      <c r="H673" s="10" t="s">
        <v>28</v>
      </c>
      <c r="I673" s="9">
        <v>10.395</v>
      </c>
      <c r="J673" s="7" t="s">
        <v>183</v>
      </c>
      <c r="K673" s="7" t="s">
        <v>219</v>
      </c>
      <c r="L673" s="11" t="str">
        <f>HYPERLINK("http://slimages.macys.com/is/image/MCY/14657609 ")</f>
        <v xml:space="preserve">http://slimages.macys.com/is/image/MCY/14657609 </v>
      </c>
    </row>
    <row r="674" spans="1:12" ht="60" x14ac:dyDescent="0.25">
      <c r="A674" s="10" t="s">
        <v>762</v>
      </c>
      <c r="B674" s="7" t="s">
        <v>760</v>
      </c>
      <c r="C674" s="8">
        <v>1</v>
      </c>
      <c r="D674" s="9">
        <v>55.6</v>
      </c>
      <c r="E674" s="9">
        <v>139</v>
      </c>
      <c r="F674" s="8" t="s">
        <v>759</v>
      </c>
      <c r="G674" s="7" t="s">
        <v>106</v>
      </c>
      <c r="H674" s="10" t="s">
        <v>25</v>
      </c>
      <c r="I674" s="9">
        <v>16.68</v>
      </c>
      <c r="J674" s="7" t="s">
        <v>183</v>
      </c>
      <c r="K674" s="7" t="s">
        <v>758</v>
      </c>
      <c r="L674" s="11" t="str">
        <f>HYPERLINK("http://slimages.macys.com/is/image/MCY/10475891 ")</f>
        <v xml:space="preserve">http://slimages.macys.com/is/image/MCY/10475891 </v>
      </c>
    </row>
    <row r="675" spans="1:12" ht="60" x14ac:dyDescent="0.25">
      <c r="A675" s="10" t="s">
        <v>761</v>
      </c>
      <c r="B675" s="7" t="s">
        <v>760</v>
      </c>
      <c r="C675" s="8">
        <v>1</v>
      </c>
      <c r="D675" s="9">
        <v>55.6</v>
      </c>
      <c r="E675" s="9">
        <v>139</v>
      </c>
      <c r="F675" s="8" t="s">
        <v>759</v>
      </c>
      <c r="G675" s="7" t="s">
        <v>106</v>
      </c>
      <c r="H675" s="10" t="s">
        <v>35</v>
      </c>
      <c r="I675" s="9">
        <v>16.68</v>
      </c>
      <c r="J675" s="7" t="s">
        <v>183</v>
      </c>
      <c r="K675" s="7" t="s">
        <v>758</v>
      </c>
      <c r="L675" s="11" t="str">
        <f>HYPERLINK("http://slimages.macys.com/is/image/MCY/10475891 ")</f>
        <v xml:space="preserve">http://slimages.macys.com/is/image/MCY/10475891 </v>
      </c>
    </row>
    <row r="676" spans="1:12" ht="48" x14ac:dyDescent="0.25">
      <c r="A676" s="10" t="s">
        <v>757</v>
      </c>
      <c r="B676" s="7" t="s">
        <v>754</v>
      </c>
      <c r="C676" s="8">
        <v>1</v>
      </c>
      <c r="D676" s="9">
        <v>22.1</v>
      </c>
      <c r="E676" s="9">
        <v>69</v>
      </c>
      <c r="F676" s="8" t="s">
        <v>753</v>
      </c>
      <c r="G676" s="7" t="s">
        <v>45</v>
      </c>
      <c r="H676" s="10" t="s">
        <v>454</v>
      </c>
      <c r="I676" s="9">
        <v>6.63</v>
      </c>
      <c r="J676" s="7" t="s">
        <v>475</v>
      </c>
      <c r="K676" s="7" t="s">
        <v>188</v>
      </c>
      <c r="L676" s="11" t="str">
        <f>HYPERLINK("http://slimages.macys.com/is/image/MCY/15297217 ")</f>
        <v xml:space="preserve">http://slimages.macys.com/is/image/MCY/15297217 </v>
      </c>
    </row>
    <row r="677" spans="1:12" ht="48" x14ac:dyDescent="0.25">
      <c r="A677" s="10" t="s">
        <v>756</v>
      </c>
      <c r="B677" s="7" t="s">
        <v>754</v>
      </c>
      <c r="C677" s="8">
        <v>1</v>
      </c>
      <c r="D677" s="9">
        <v>22.1</v>
      </c>
      <c r="E677" s="9">
        <v>69</v>
      </c>
      <c r="F677" s="8" t="s">
        <v>753</v>
      </c>
      <c r="G677" s="7" t="s">
        <v>45</v>
      </c>
      <c r="H677" s="10" t="s">
        <v>402</v>
      </c>
      <c r="I677" s="9">
        <v>6.63</v>
      </c>
      <c r="J677" s="7" t="s">
        <v>475</v>
      </c>
      <c r="K677" s="7" t="s">
        <v>188</v>
      </c>
      <c r="L677" s="11" t="str">
        <f>HYPERLINK("http://slimages.macys.com/is/image/MCY/15297217 ")</f>
        <v xml:space="preserve">http://slimages.macys.com/is/image/MCY/15297217 </v>
      </c>
    </row>
    <row r="678" spans="1:12" ht="48" x14ac:dyDescent="0.25">
      <c r="A678" s="10" t="s">
        <v>755</v>
      </c>
      <c r="B678" s="7" t="s">
        <v>754</v>
      </c>
      <c r="C678" s="8">
        <v>1</v>
      </c>
      <c r="D678" s="9">
        <v>22.1</v>
      </c>
      <c r="E678" s="9">
        <v>69</v>
      </c>
      <c r="F678" s="8" t="s">
        <v>753</v>
      </c>
      <c r="G678" s="7" t="s">
        <v>45</v>
      </c>
      <c r="H678" s="10" t="s">
        <v>405</v>
      </c>
      <c r="I678" s="9">
        <v>6.63</v>
      </c>
      <c r="J678" s="7" t="s">
        <v>475</v>
      </c>
      <c r="K678" s="7" t="s">
        <v>188</v>
      </c>
      <c r="L678" s="11" t="str">
        <f>HYPERLINK("http://slimages.macys.com/is/image/MCY/15297217 ")</f>
        <v xml:space="preserve">http://slimages.macys.com/is/image/MCY/15297217 </v>
      </c>
    </row>
    <row r="679" spans="1:12" ht="72" x14ac:dyDescent="0.25">
      <c r="A679" s="10" t="s">
        <v>752</v>
      </c>
      <c r="B679" s="7" t="s">
        <v>126</v>
      </c>
      <c r="C679" s="8">
        <v>1</v>
      </c>
      <c r="D679" s="9">
        <v>80.33</v>
      </c>
      <c r="E679" s="9">
        <v>199</v>
      </c>
      <c r="F679" s="8" t="s">
        <v>127</v>
      </c>
      <c r="G679" s="7" t="s">
        <v>27</v>
      </c>
      <c r="H679" s="10" t="s">
        <v>53</v>
      </c>
      <c r="I679" s="9">
        <v>24.099</v>
      </c>
      <c r="J679" s="7" t="s">
        <v>29</v>
      </c>
      <c r="K679" s="7" t="s">
        <v>128</v>
      </c>
      <c r="L679" s="11" t="str">
        <f>HYPERLINK("http://slimages.macys.com/is/image/MCY/14360854 ")</f>
        <v xml:space="preserve">http://slimages.macys.com/is/image/MCY/14360854 </v>
      </c>
    </row>
    <row r="680" spans="1:12" ht="72" x14ac:dyDescent="0.25">
      <c r="A680" s="10" t="s">
        <v>129</v>
      </c>
      <c r="B680" s="7" t="s">
        <v>126</v>
      </c>
      <c r="C680" s="8">
        <v>2</v>
      </c>
      <c r="D680" s="9">
        <v>80.33</v>
      </c>
      <c r="E680" s="9">
        <v>199</v>
      </c>
      <c r="F680" s="8" t="s">
        <v>127</v>
      </c>
      <c r="G680" s="7" t="s">
        <v>27</v>
      </c>
      <c r="H680" s="10" t="s">
        <v>30</v>
      </c>
      <c r="I680" s="9">
        <v>24.099</v>
      </c>
      <c r="J680" s="7" t="s">
        <v>29</v>
      </c>
      <c r="K680" s="7" t="s">
        <v>128</v>
      </c>
      <c r="L680" s="11" t="str">
        <f>HYPERLINK("http://slimages.macys.com/is/image/MCY/14360854 ")</f>
        <v xml:space="preserve">http://slimages.macys.com/is/image/MCY/14360854 </v>
      </c>
    </row>
    <row r="681" spans="1:12" ht="72" x14ac:dyDescent="0.25">
      <c r="A681" s="10" t="s">
        <v>125</v>
      </c>
      <c r="B681" s="7" t="s">
        <v>126</v>
      </c>
      <c r="C681" s="8">
        <v>1</v>
      </c>
      <c r="D681" s="9">
        <v>80.33</v>
      </c>
      <c r="E681" s="9">
        <v>199</v>
      </c>
      <c r="F681" s="8" t="s">
        <v>127</v>
      </c>
      <c r="G681" s="7" t="s">
        <v>27</v>
      </c>
      <c r="H681" s="10" t="s">
        <v>28</v>
      </c>
      <c r="I681" s="9">
        <v>24.099</v>
      </c>
      <c r="J681" s="7" t="s">
        <v>29</v>
      </c>
      <c r="K681" s="7" t="s">
        <v>128</v>
      </c>
      <c r="L681" s="11" t="str">
        <f>HYPERLINK("http://slimages.macys.com/is/image/MCY/14360854 ")</f>
        <v xml:space="preserve">http://slimages.macys.com/is/image/MCY/14360854 </v>
      </c>
    </row>
    <row r="682" spans="1:12" ht="72" x14ac:dyDescent="0.25">
      <c r="A682" s="10" t="s">
        <v>130</v>
      </c>
      <c r="B682" s="7" t="s">
        <v>126</v>
      </c>
      <c r="C682" s="8">
        <v>1</v>
      </c>
      <c r="D682" s="9">
        <v>80.33</v>
      </c>
      <c r="E682" s="9">
        <v>199</v>
      </c>
      <c r="F682" s="8" t="s">
        <v>127</v>
      </c>
      <c r="G682" s="7" t="s">
        <v>27</v>
      </c>
      <c r="H682" s="10" t="s">
        <v>57</v>
      </c>
      <c r="I682" s="9">
        <v>24.099</v>
      </c>
      <c r="J682" s="7" t="s">
        <v>29</v>
      </c>
      <c r="K682" s="7" t="s">
        <v>128</v>
      </c>
      <c r="L682" s="11" t="str">
        <f>HYPERLINK("http://slimages.macys.com/is/image/MCY/14360854 ")</f>
        <v xml:space="preserve">http://slimages.macys.com/is/image/MCY/14360854 </v>
      </c>
    </row>
    <row r="683" spans="1:12" ht="48" x14ac:dyDescent="0.25">
      <c r="A683" s="10" t="s">
        <v>751</v>
      </c>
      <c r="B683" s="7" t="s">
        <v>748</v>
      </c>
      <c r="C683" s="8">
        <v>2</v>
      </c>
      <c r="D683" s="9">
        <v>71.83</v>
      </c>
      <c r="E683" s="9">
        <v>169</v>
      </c>
      <c r="F683" s="8" t="s">
        <v>747</v>
      </c>
      <c r="G683" s="7" t="s">
        <v>37</v>
      </c>
      <c r="H683" s="10" t="s">
        <v>28</v>
      </c>
      <c r="I683" s="9">
        <v>21.548999999999999</v>
      </c>
      <c r="J683" s="7" t="s">
        <v>29</v>
      </c>
      <c r="K683" s="7" t="s">
        <v>66</v>
      </c>
      <c r="L683" s="11" t="str">
        <f>HYPERLINK("http://slimages.macys.com/is/image/MCY/14373406 ")</f>
        <v xml:space="preserve">http://slimages.macys.com/is/image/MCY/14373406 </v>
      </c>
    </row>
    <row r="684" spans="1:12" ht="48" x14ac:dyDescent="0.25">
      <c r="A684" s="10" t="s">
        <v>750</v>
      </c>
      <c r="B684" s="7" t="s">
        <v>748</v>
      </c>
      <c r="C684" s="8">
        <v>1</v>
      </c>
      <c r="D684" s="9">
        <v>71.83</v>
      </c>
      <c r="E684" s="9">
        <v>169</v>
      </c>
      <c r="F684" s="8" t="s">
        <v>747</v>
      </c>
      <c r="G684" s="7" t="s">
        <v>37</v>
      </c>
      <c r="H684" s="10" t="s">
        <v>30</v>
      </c>
      <c r="I684" s="9">
        <v>21.548999999999999</v>
      </c>
      <c r="J684" s="7" t="s">
        <v>29</v>
      </c>
      <c r="K684" s="7" t="s">
        <v>66</v>
      </c>
      <c r="L684" s="11" t="str">
        <f>HYPERLINK("http://slimages.macys.com/is/image/MCY/14373406 ")</f>
        <v xml:space="preserve">http://slimages.macys.com/is/image/MCY/14373406 </v>
      </c>
    </row>
    <row r="685" spans="1:12" ht="48" x14ac:dyDescent="0.25">
      <c r="A685" s="10" t="s">
        <v>749</v>
      </c>
      <c r="B685" s="7" t="s">
        <v>748</v>
      </c>
      <c r="C685" s="8">
        <v>1</v>
      </c>
      <c r="D685" s="9">
        <v>71.83</v>
      </c>
      <c r="E685" s="9">
        <v>169</v>
      </c>
      <c r="F685" s="8" t="s">
        <v>747</v>
      </c>
      <c r="G685" s="7" t="s">
        <v>37</v>
      </c>
      <c r="H685" s="10" t="s">
        <v>57</v>
      </c>
      <c r="I685" s="9">
        <v>21.548999999999999</v>
      </c>
      <c r="J685" s="7" t="s">
        <v>29</v>
      </c>
      <c r="K685" s="7" t="s">
        <v>66</v>
      </c>
      <c r="L685" s="11" t="str">
        <f>HYPERLINK("http://slimages.macys.com/is/image/MCY/14373406 ")</f>
        <v xml:space="preserve">http://slimages.macys.com/is/image/MCY/14373406 </v>
      </c>
    </row>
    <row r="686" spans="1:12" ht="48" x14ac:dyDescent="0.25">
      <c r="A686" s="10" t="s">
        <v>746</v>
      </c>
      <c r="B686" s="7" t="s">
        <v>745</v>
      </c>
      <c r="C686" s="8">
        <v>1</v>
      </c>
      <c r="D686" s="9">
        <v>7.75</v>
      </c>
      <c r="E686" s="9">
        <v>19.489999999999998</v>
      </c>
      <c r="F686" s="8" t="s">
        <v>744</v>
      </c>
      <c r="G686" s="7" t="s">
        <v>133</v>
      </c>
      <c r="H686" s="10" t="s">
        <v>132</v>
      </c>
      <c r="I686" s="9">
        <v>2.3250000000000002</v>
      </c>
      <c r="J686" s="7" t="s">
        <v>496</v>
      </c>
      <c r="K686" s="7" t="s">
        <v>219</v>
      </c>
      <c r="L686" s="11" t="str">
        <f>HYPERLINK("http://slimages.macys.com/is/image/MCY/13584855 ")</f>
        <v xml:space="preserve">http://slimages.macys.com/is/image/MCY/13584855 </v>
      </c>
    </row>
    <row r="687" spans="1:12" ht="60" x14ac:dyDescent="0.25">
      <c r="A687" s="10" t="s">
        <v>743</v>
      </c>
      <c r="B687" s="7" t="s">
        <v>742</v>
      </c>
      <c r="C687" s="8">
        <v>1</v>
      </c>
      <c r="D687" s="9">
        <v>60.9</v>
      </c>
      <c r="E687" s="9">
        <v>145</v>
      </c>
      <c r="F687" s="8">
        <v>251768034001</v>
      </c>
      <c r="G687" s="7" t="s">
        <v>67</v>
      </c>
      <c r="H687" s="10" t="s">
        <v>68</v>
      </c>
      <c r="I687" s="9">
        <v>18.27</v>
      </c>
      <c r="J687" s="7" t="s">
        <v>134</v>
      </c>
      <c r="K687" s="7" t="s">
        <v>123</v>
      </c>
      <c r="L687" s="11" t="str">
        <f>HYPERLINK("http://slimages.macys.com/is/image/MCY/14359300 ")</f>
        <v xml:space="preserve">http://slimages.macys.com/is/image/MCY/14359300 </v>
      </c>
    </row>
  </sheetData>
  <pageMargins left="0.5" right="0.5" top="0.25" bottom="0.25" header="0.3" footer="0.3"/>
  <pageSetup scale="6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12775109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2021-07-09T18:39:27Z</dcterms:created>
  <dcterms:modified xsi:type="dcterms:W3CDTF">2021-09-14T08:38:56Z</dcterms:modified>
</cp:coreProperties>
</file>